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7"/>
  <workbookPr codeName="ThisWorkbook" defaultThemeVersion="124226"/>
  <mc:AlternateContent xmlns:mc="http://schemas.openxmlformats.org/markup-compatibility/2006">
    <mc:Choice Requires="x15">
      <x15ac:absPath xmlns:x15ac="http://schemas.microsoft.com/office/spreadsheetml/2010/11/ac" url="https://nlnhg.sharepoint.com/sites/VoorwaardenenNormen/Gedeelde documenten/V&amp;N Digitaal alle jaren/"/>
    </mc:Choice>
  </mc:AlternateContent>
  <xr:revisionPtr revIDLastSave="0" documentId="8_{2ED3FE70-5931-4F47-8052-F6A1DDBCE043}" xr6:coauthVersionLast="47" xr6:coauthVersionMax="47" xr10:uidLastSave="{00000000-0000-0000-0000-000000000000}"/>
  <bookViews>
    <workbookView xWindow="20790" yWindow="-18195" windowWidth="29040" windowHeight="17640" xr2:uid="{00000000-000D-0000-FFFF-FFFF00000000}"/>
  </bookViews>
  <sheets>
    <sheet name="logboek" sheetId="3" r:id="rId1"/>
    <sheet name="Rekenmodel" sheetId="1" r:id="rId2"/>
    <sheet name="printversie" sheetId="4" state="hidden" r:id="rId3"/>
    <sheet name="Gebruiksaanwijzing" sheetId="2" state="hidden" r:id="rId4"/>
  </sheets>
  <definedNames>
    <definedName name="_xlnm.Print_Area" localSheetId="1">Rekenmodel!$B$2:$Q$45</definedName>
    <definedName name="Z_14D89E1E_FF60_4AD6_979E_2920D45410EF_.wvu.Cols" localSheetId="1" hidden="1">Rekenmodel!$S:$IV</definedName>
    <definedName name="Z_14D89E1E_FF60_4AD6_979E_2920D45410EF_.wvu.PrintArea" localSheetId="1" hidden="1">Rekenmodel!$B$2:$Q$45</definedName>
    <definedName name="Z_14D89E1E_FF60_4AD6_979E_2920D45410EF_.wvu.Rows" localSheetId="1" hidden="1">Rekenmodel!$127:$65548,Rekenmodel!$38:$40,Rekenmodel!$47:$126</definedName>
  </definedNames>
  <calcPr calcId="191028"/>
  <customWorkbookViews>
    <customWorkbookView name="andred - Persoonlijke weergave" guid="{14D89E1E-FF60-4AD6-979E-2920D45410EF}" mergeInterval="0" personalView="1" maximized="1" showHorizontalScroll="0" showVerticalScroll="0" windowWidth="1276" windowHeight="851" activeSheetId="1"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I29" i="1"/>
  <c r="I24" i="1"/>
  <c r="D68" i="1"/>
  <c r="G8" i="4"/>
  <c r="I8" i="4" s="1"/>
  <c r="X59" i="4" s="1"/>
  <c r="I8" i="1"/>
  <c r="X95" i="1" s="1"/>
  <c r="G19" i="4"/>
  <c r="G20" i="4"/>
  <c r="I17" i="4" s="1"/>
  <c r="G17" i="4"/>
  <c r="G18" i="4"/>
  <c r="I18" i="4" s="1"/>
  <c r="I15" i="1"/>
  <c r="I20" i="1"/>
  <c r="I25" i="1"/>
  <c r="G15" i="4"/>
  <c r="G14" i="4"/>
  <c r="G12" i="4"/>
  <c r="G13" i="4"/>
  <c r="I13" i="4" s="1"/>
  <c r="G24" i="4"/>
  <c r="G25" i="4"/>
  <c r="Y23" i="4" s="1"/>
  <c r="I22" i="4"/>
  <c r="G22" i="4"/>
  <c r="G23" i="4"/>
  <c r="I23" i="4" s="1"/>
  <c r="G29" i="4"/>
  <c r="G30" i="4"/>
  <c r="I30" i="4" s="1"/>
  <c r="G34" i="4"/>
  <c r="G35" i="4"/>
  <c r="G28" i="4"/>
  <c r="I28" i="4" s="1"/>
  <c r="G33" i="4"/>
  <c r="I33" i="4" s="1"/>
  <c r="G51" i="1"/>
  <c r="M27" i="1" s="1"/>
  <c r="T43" i="1"/>
  <c r="I13" i="1"/>
  <c r="T13" i="1" s="1"/>
  <c r="I18" i="1"/>
  <c r="T18" i="1" s="1"/>
  <c r="I23" i="1"/>
  <c r="T23" i="1" s="1"/>
  <c r="I28" i="1"/>
  <c r="T28" i="1" s="1"/>
  <c r="I30" i="1"/>
  <c r="I33" i="1"/>
  <c r="T33" i="1" s="1"/>
  <c r="I35" i="1"/>
  <c r="I12" i="1"/>
  <c r="I17" i="1"/>
  <c r="I22" i="1"/>
  <c r="I27" i="1"/>
  <c r="I32" i="1"/>
  <c r="G32" i="4"/>
  <c r="G27" i="4"/>
  <c r="G6" i="4"/>
  <c r="D44" i="4"/>
  <c r="T43" i="4"/>
  <c r="T10" i="4"/>
  <c r="G53" i="1"/>
  <c r="D43" i="1" s="1"/>
  <c r="Y34" i="1"/>
  <c r="Y24" i="1"/>
  <c r="Y29" i="1"/>
  <c r="Y33" i="1"/>
  <c r="Y23" i="1"/>
  <c r="Y28" i="1"/>
  <c r="S3" i="1"/>
  <c r="Y24" i="4"/>
  <c r="I25" i="4"/>
  <c r="X116" i="1" l="1"/>
  <c r="X112" i="1"/>
  <c r="X108" i="1"/>
  <c r="X120" i="1"/>
  <c r="X104" i="1"/>
  <c r="X118" i="1"/>
  <c r="X114" i="1"/>
  <c r="X110" i="1"/>
  <c r="X106" i="1"/>
  <c r="X119" i="1"/>
  <c r="X115" i="1"/>
  <c r="X111" i="1"/>
  <c r="X107" i="1"/>
  <c r="X121" i="1"/>
  <c r="X117" i="1"/>
  <c r="X113" i="1"/>
  <c r="X109" i="1"/>
  <c r="X105" i="1"/>
  <c r="I12" i="4"/>
  <c r="Y18" i="1"/>
  <c r="Y19" i="1"/>
  <c r="Y14" i="1"/>
  <c r="I32" i="4"/>
  <c r="T30" i="1"/>
  <c r="Y28" i="4"/>
  <c r="T25" i="4"/>
  <c r="T138" i="1"/>
  <c r="T20" i="1"/>
  <c r="T15" i="1"/>
  <c r="T93" i="4"/>
  <c r="T18" i="4"/>
  <c r="T33" i="4"/>
  <c r="T96" i="4"/>
  <c r="T140" i="1"/>
  <c r="T35" i="1"/>
  <c r="T25" i="1"/>
  <c r="Y29" i="4"/>
  <c r="I27" i="4"/>
  <c r="T139" i="1"/>
  <c r="G53" i="4"/>
  <c r="G51" i="4"/>
  <c r="T44" i="4" s="1"/>
  <c r="X69" i="4"/>
  <c r="X65" i="4"/>
  <c r="X64" i="4"/>
  <c r="X75" i="4"/>
  <c r="X74" i="4"/>
  <c r="X71" i="4"/>
  <c r="X60" i="4"/>
  <c r="X54" i="4"/>
  <c r="X64" i="1"/>
  <c r="X68" i="4"/>
  <c r="T8" i="4"/>
  <c r="X61" i="4"/>
  <c r="X58" i="4"/>
  <c r="X83" i="1"/>
  <c r="X77" i="4"/>
  <c r="X57" i="4"/>
  <c r="X54" i="1"/>
  <c r="X61" i="1"/>
  <c r="T8" i="1"/>
  <c r="X59" i="1"/>
  <c r="X67" i="1"/>
  <c r="X77" i="1"/>
  <c r="X63" i="4"/>
  <c r="X66" i="4"/>
  <c r="X72" i="4"/>
  <c r="X86" i="1"/>
  <c r="X73" i="4"/>
  <c r="X62" i="4"/>
  <c r="X70" i="4"/>
  <c r="X55" i="4"/>
  <c r="X76" i="4"/>
  <c r="X72" i="1"/>
  <c r="X88" i="1"/>
  <c r="X90" i="1"/>
  <c r="X79" i="1"/>
  <c r="X66" i="1"/>
  <c r="X58" i="1"/>
  <c r="X97" i="1"/>
  <c r="X101" i="1"/>
  <c r="X68" i="1"/>
  <c r="X84" i="1"/>
  <c r="X60" i="1"/>
  <c r="X85" i="1"/>
  <c r="X78" i="1"/>
  <c r="X75" i="1"/>
  <c r="X69" i="1"/>
  <c r="X63" i="1"/>
  <c r="X93" i="1"/>
  <c r="X99" i="1"/>
  <c r="X100" i="1"/>
  <c r="X56" i="1"/>
  <c r="X96" i="1"/>
  <c r="X91" i="1"/>
  <c r="M17" i="1"/>
  <c r="X62" i="1"/>
  <c r="X70" i="1"/>
  <c r="X92" i="1"/>
  <c r="X65" i="1"/>
  <c r="X71" i="1"/>
  <c r="X94" i="1"/>
  <c r="X87" i="1"/>
  <c r="X89" i="1"/>
  <c r="X81" i="1"/>
  <c r="X76" i="1"/>
  <c r="X80" i="1"/>
  <c r="X57" i="1"/>
  <c r="X74" i="1"/>
  <c r="X56" i="4"/>
  <c r="M17" i="4"/>
  <c r="X67" i="4"/>
  <c r="X82" i="1"/>
  <c r="X73" i="1"/>
  <c r="X55" i="1"/>
  <c r="X103" i="1"/>
  <c r="X98" i="1"/>
  <c r="X102" i="1"/>
  <c r="T23" i="4"/>
  <c r="T94" i="4"/>
  <c r="T95" i="4"/>
  <c r="T28" i="4"/>
  <c r="T30" i="4"/>
  <c r="T92" i="4"/>
  <c r="T13" i="4"/>
  <c r="Y34" i="4"/>
  <c r="I35" i="4"/>
  <c r="T35" i="4" s="1"/>
  <c r="I15" i="4"/>
  <c r="T15" i="4" s="1"/>
  <c r="I20" i="4"/>
  <c r="Y19" i="4" s="1"/>
  <c r="T137" i="1"/>
  <c r="T136" i="1"/>
  <c r="Y33" i="4" l="1"/>
  <c r="X122" i="1"/>
  <c r="M12" i="1" s="1"/>
  <c r="T20" i="4"/>
  <c r="Y18" i="4"/>
  <c r="M27" i="4"/>
  <c r="Y14" i="4"/>
  <c r="T141" i="1"/>
  <c r="X78" i="4"/>
  <c r="T97" i="4"/>
  <c r="Y13" i="1" l="1"/>
  <c r="I19" i="1"/>
  <c r="J19" i="1" s="1"/>
  <c r="I14" i="1"/>
  <c r="I37" i="1" s="1"/>
  <c r="S144" i="1" s="1"/>
  <c r="Y25" i="1"/>
  <c r="K24" i="1" s="1"/>
  <c r="Y30" i="1"/>
  <c r="K29" i="1" s="1"/>
  <c r="J34" i="1"/>
  <c r="Y15" i="1"/>
  <c r="Y20" i="1"/>
  <c r="K19" i="1" s="1"/>
  <c r="J29" i="1"/>
  <c r="M12" i="4"/>
  <c r="Y13" i="4" s="1"/>
  <c r="J24" i="1"/>
  <c r="T42" i="1"/>
  <c r="Y35" i="1"/>
  <c r="K34" i="1" s="1"/>
  <c r="J14" i="1" l="1"/>
  <c r="S147" i="1"/>
  <c r="S150" i="1"/>
  <c r="M22" i="1"/>
  <c r="I39" i="1"/>
  <c r="T29" i="1"/>
  <c r="T27" i="1"/>
  <c r="M32" i="1"/>
  <c r="T46" i="1"/>
  <c r="T19" i="1"/>
  <c r="T17" i="1"/>
  <c r="T24" i="1"/>
  <c r="T22" i="1"/>
  <c r="I51" i="1"/>
  <c r="T14" i="1"/>
  <c r="T12" i="1"/>
  <c r="T32" i="1"/>
  <c r="T34" i="1"/>
  <c r="Y25" i="4"/>
  <c r="Y20" i="4"/>
  <c r="T42" i="4"/>
  <c r="T46" i="4" s="1"/>
  <c r="Y15" i="4"/>
  <c r="Y30" i="4"/>
  <c r="Y35" i="4"/>
  <c r="I40" i="1" l="1"/>
  <c r="I38" i="1"/>
  <c r="I43" i="1"/>
  <c r="M34" i="1"/>
  <c r="M32" i="4"/>
  <c r="M34" i="4" s="1"/>
  <c r="I34" i="4"/>
  <c r="J34" i="4" s="1"/>
  <c r="K34" i="4"/>
  <c r="I24" i="4"/>
  <c r="J24" i="4" s="1"/>
  <c r="K24" i="4"/>
  <c r="K19" i="4"/>
  <c r="I19" i="4"/>
  <c r="J19" i="4" s="1"/>
  <c r="I29" i="4"/>
  <c r="J29" i="4" s="1"/>
  <c r="K29" i="4"/>
  <c r="I14" i="4"/>
  <c r="K14" i="4"/>
  <c r="J14" i="4" l="1"/>
  <c r="T12" i="4" s="1"/>
  <c r="I37" i="4"/>
  <c r="T17" i="4"/>
  <c r="T19" i="4"/>
  <c r="T34" i="4"/>
  <c r="T32" i="4"/>
  <c r="T27" i="4"/>
  <c r="T29" i="4"/>
  <c r="T22" i="4"/>
  <c r="T24" i="4"/>
  <c r="I43" i="4"/>
  <c r="I42" i="4" s="1"/>
  <c r="I42" i="1"/>
  <c r="I51" i="4" l="1"/>
  <c r="T14" i="4"/>
  <c r="I39" i="4"/>
  <c r="S100" i="4"/>
  <c r="I38" i="4" l="1"/>
  <c r="I40" i="4"/>
  <c r="S103" i="4"/>
  <c r="S106" i="4"/>
  <c r="M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andred</author>
  </authors>
  <commentList>
    <comment ref="G6" authorId="0" shapeId="0" xr:uid="{00000000-0006-0000-0100-000001000000}">
      <text>
        <r>
          <rPr>
            <sz val="8"/>
            <color indexed="81"/>
            <rFont val="Tahoma"/>
            <family val="2"/>
          </rPr>
          <t xml:space="preserve">Vul hier een referentie in:
Bijvoorbeeld naam van de client of leningnummer
</t>
        </r>
      </text>
    </comment>
    <comment ref="G8" authorId="0" shapeId="0" xr:uid="{00000000-0006-0000-0100-000002000000}">
      <text>
        <r>
          <rPr>
            <b/>
            <sz val="8"/>
            <color indexed="10"/>
            <rFont val="Tahoma"/>
            <family val="2"/>
          </rPr>
          <t>Let op!</t>
        </r>
        <r>
          <rPr>
            <sz val="8"/>
            <color indexed="81"/>
            <rFont val="Tahoma"/>
            <family val="2"/>
          </rPr>
          <t xml:space="preserve">
*Plaats hier altijd de datum als het ingevulde model digitaal wordt opgeslagen.
*De CHF herziet elk kwartaal de toetsrente en past deze zonodig aan. Dit model houdt rekening met wijzigingen van de CHF toetsrente.</t>
        </r>
      </text>
    </comment>
    <comment ref="G14" authorId="0" shapeId="0" xr:uid="{00000000-0006-0000-0100-000003000000}">
      <text>
        <r>
          <rPr>
            <sz val="8"/>
            <color indexed="81"/>
            <rFont val="Tahoma"/>
            <family val="2"/>
          </rPr>
          <t xml:space="preserve">Vul hier de geoffreerde hypotheekrente in
</t>
        </r>
      </text>
    </comment>
    <comment ref="G19" authorId="0" shapeId="0" xr:uid="{00000000-0006-0000-0100-000004000000}">
      <text>
        <r>
          <rPr>
            <sz val="8"/>
            <color indexed="81"/>
            <rFont val="Tahoma"/>
            <family val="2"/>
          </rPr>
          <t>Vul hier de geoffreerde hypotheekrente in</t>
        </r>
        <r>
          <rPr>
            <sz val="8"/>
            <color indexed="81"/>
            <rFont val="Tahoma"/>
            <family val="2"/>
          </rPr>
          <t xml:space="preserve">
</t>
        </r>
      </text>
    </comment>
    <comment ref="G24" authorId="0" shapeId="0" xr:uid="{00000000-0006-0000-0100-000005000000}">
      <text>
        <r>
          <rPr>
            <sz val="8"/>
            <color indexed="81"/>
            <rFont val="Tahoma"/>
            <family val="2"/>
          </rPr>
          <t xml:space="preserve">Vul hier de geoffreerde hypotheekrente in
</t>
        </r>
      </text>
    </comment>
    <comment ref="G29" authorId="0" shapeId="0" xr:uid="{00000000-0006-0000-0100-000006000000}">
      <text>
        <r>
          <rPr>
            <sz val="8"/>
            <color indexed="81"/>
            <rFont val="Tahoma"/>
            <family val="2"/>
          </rPr>
          <t xml:space="preserve">Vul hier de geoffreerde hypotheekrente in
</t>
        </r>
      </text>
    </comment>
    <comment ref="G34" authorId="0" shapeId="0" xr:uid="{00000000-0006-0000-0100-000007000000}">
      <text>
        <r>
          <rPr>
            <sz val="8"/>
            <color indexed="81"/>
            <rFont val="Tahoma"/>
            <family val="2"/>
          </rPr>
          <t xml:space="preserve">Vul hier de geoffreerde hypotheekrente in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andred</author>
  </authors>
  <commentList>
    <comment ref="G6" authorId="0" shapeId="0" xr:uid="{00000000-0006-0000-0200-000001000000}">
      <text>
        <r>
          <rPr>
            <sz val="8"/>
            <color indexed="81"/>
            <rFont val="Tahoma"/>
            <family val="2"/>
          </rPr>
          <t xml:space="preserve">Vul hier een referentie in:
Bijvoorbeeld naam van de client of leningnummer
</t>
        </r>
      </text>
    </comment>
  </commentList>
</comments>
</file>

<file path=xl/sharedStrings.xml><?xml version="1.0" encoding="utf-8"?>
<sst xmlns="http://schemas.openxmlformats.org/spreadsheetml/2006/main" count="346" uniqueCount="121">
  <si>
    <t>datum</t>
  </si>
  <si>
    <t>Logboek</t>
  </si>
  <si>
    <t>Nog inbouwen:</t>
  </si>
  <si>
    <t>Ingebouwd in model</t>
  </si>
  <si>
    <t>CHF toetsrente op basis van datum</t>
  </si>
  <si>
    <t>igv CHF korter dan 10 jaar</t>
  </si>
  <si>
    <t>oude NHG toetsrente (6%)</t>
  </si>
  <si>
    <t>igv oude NHG toetsrente gelijk of korter dan 5 jaar</t>
  </si>
  <si>
    <t>maximale kostengrens</t>
  </si>
  <si>
    <t>maximale toetsduur??</t>
  </si>
  <si>
    <t>offertedatum</t>
  </si>
  <si>
    <t>Indien igv oude NHG norm rente groter dan 6% dan hogere rente</t>
  </si>
  <si>
    <t>CHF kwartaal toetsrente wordt elk kwartaal ge-update</t>
  </si>
  <si>
    <t>kostengrens aangepast naar 350000</t>
  </si>
  <si>
    <t>CHF naar 5,8%</t>
  </si>
  <si>
    <t>Toetsrente aangepast</t>
  </si>
  <si>
    <t>Lay Out informatie</t>
  </si>
  <si>
    <t>rood:</t>
  </si>
  <si>
    <t>R: 215</t>
  </si>
  <si>
    <t>G: 25</t>
  </si>
  <si>
    <t>B: 32</t>
  </si>
  <si>
    <t>grijs</t>
  </si>
  <si>
    <t>R: 209</t>
  </si>
  <si>
    <t>G: 211</t>
  </si>
  <si>
    <t>B: 212</t>
  </si>
  <si>
    <t>nieuwe logo per 1-1-2008 (My Ky levert aan)</t>
  </si>
  <si>
    <t>er is een waarschuwingsregel opgenomen</t>
  </si>
  <si>
    <t>Referentie</t>
  </si>
  <si>
    <t>bepaling waarschuwingsmeldingen</t>
  </si>
  <si>
    <r>
      <t xml:space="preserve">Datum van offreren                                 </t>
    </r>
    <r>
      <rPr>
        <sz val="10"/>
        <color indexed="62"/>
        <rFont val="Calibri"/>
        <family val="2"/>
      </rPr>
      <t>(dd-mm-jjjj)</t>
    </r>
  </si>
  <si>
    <t>Omschrijving leningdeel</t>
  </si>
  <si>
    <t>Invulvelden</t>
  </si>
  <si>
    <t>Rekenen met</t>
  </si>
  <si>
    <t>AFM toetsrente</t>
  </si>
  <si>
    <t xml:space="preserve">Vinkje waar / onwaar verwijderd. Met indien onwaar toetst het programma bij kortere rentevast perioden altijd met de AFM rente. Ook als de rente hoger ligt dan de AFM. </t>
  </si>
  <si>
    <t>Hoofdsom 1</t>
  </si>
  <si>
    <t>bepaling toetsrentes</t>
  </si>
  <si>
    <t>Resterende looptijd 1</t>
  </si>
  <si>
    <t>mnd</t>
  </si>
  <si>
    <t xml:space="preserve"> </t>
  </si>
  <si>
    <t>AFM</t>
  </si>
  <si>
    <t>Rentepercentage 1</t>
  </si>
  <si>
    <t>NHG</t>
  </si>
  <si>
    <t>(Resterende) rentevastperiode</t>
  </si>
  <si>
    <t>NHG-toetsrente</t>
  </si>
  <si>
    <t>Bank AFM</t>
  </si>
  <si>
    <t>Hoofdsom 2</t>
  </si>
  <si>
    <t>Resterende looptijd 2</t>
  </si>
  <si>
    <t>Rentepercentage 2</t>
  </si>
  <si>
    <t>Ann.factor(tabel)</t>
  </si>
  <si>
    <t>Hoofdsom 3</t>
  </si>
  <si>
    <t>Resterende looptijd 3</t>
  </si>
  <si>
    <t>Rentepercentage 3</t>
  </si>
  <si>
    <t>Totale lening</t>
  </si>
  <si>
    <t>Hoofdsom 4</t>
  </si>
  <si>
    <t>Resterende looptijd 4</t>
  </si>
  <si>
    <t>Rentepercentage 4</t>
  </si>
  <si>
    <t>Gew.gem.toetsrente</t>
  </si>
  <si>
    <t>Hoofdsom 5</t>
  </si>
  <si>
    <t>Resterende looptijd 5</t>
  </si>
  <si>
    <t>Rentepercentage 5</t>
  </si>
  <si>
    <t>Ann. Factor (Tabel)</t>
  </si>
  <si>
    <t>Toegestane maandlast</t>
  </si>
  <si>
    <t xml:space="preserve">Annuiteitenfactor </t>
  </si>
  <si>
    <t>ja</t>
  </si>
  <si>
    <t>Uitgiftedatum 27 augustus 2021. Eerder uitgegeven versies komen met de uitgifte van deze versie te vervallen.</t>
  </si>
  <si>
    <t>*Aanpassen als max NHG bedrag wijzigt</t>
  </si>
  <si>
    <t>Totaal lening</t>
  </si>
  <si>
    <t>bepalen of ergens AFM toetsrente wordt gebruikt</t>
  </si>
  <si>
    <t>toetsrente tabel AFM</t>
  </si>
  <si>
    <t>controleveld of G kolom is gevuld</t>
  </si>
  <si>
    <t>jaar</t>
  </si>
  <si>
    <t>kwartaal</t>
  </si>
  <si>
    <t>begin</t>
  </si>
  <si>
    <t>einde</t>
  </si>
  <si>
    <t>geldende toetsrente</t>
  </si>
  <si>
    <t>keuzecellen</t>
  </si>
  <si>
    <t>Q4</t>
  </si>
  <si>
    <t>Q1</t>
  </si>
  <si>
    <t>nee</t>
  </si>
  <si>
    <t>Q2</t>
  </si>
  <si>
    <t>Q3</t>
  </si>
  <si>
    <t>Als de datum kleiner dan 1 april 2007en rentevast korter dan 60 maanden dan NHG  toetsrente</t>
  </si>
  <si>
    <t>Als de datum kleiner dan 1 april 2007: NHG toets en rentevast groter/gelijk aan 60 maanden dan werkelijke rente</t>
  </si>
  <si>
    <t>Als de datum groter/gelijk aan 1 april 2007en rentevast korter dan 120 maanden dan AFM  toetsrente</t>
  </si>
  <si>
    <t>Als de datum groter/gelijk aan 1 april 2007en rentevast groet/gelijk aan 120 maanden dan werkelijke rente</t>
  </si>
  <si>
    <t>gebruikte AFM toetsrente</t>
  </si>
  <si>
    <t>geldende toetsrente bij offertedatum</t>
  </si>
  <si>
    <t>introductiedatum GHF toetsrente</t>
  </si>
  <si>
    <t>Invulvelden voor AFM toetsrente</t>
  </si>
  <si>
    <t>Introductie AFM toetsrente</t>
  </si>
  <si>
    <t>bepaling langste looptijd</t>
  </si>
  <si>
    <t>ld01</t>
  </si>
  <si>
    <t>ld02</t>
  </si>
  <si>
    <t>ld03</t>
  </si>
  <si>
    <t>ld04</t>
  </si>
  <si>
    <t>ld05</t>
  </si>
  <si>
    <t>langste looptijd</t>
  </si>
  <si>
    <t>ann.factor</t>
  </si>
  <si>
    <t>ann.factor(tabel)</t>
  </si>
  <si>
    <t>Berekening t.b.v. ontslag uit de hoofdelijke aansprakelijkheid</t>
  </si>
  <si>
    <t>AFM-toetsrente</t>
  </si>
  <si>
    <t xml:space="preserve">Vinkje waar / onwaar verwijderd. Met indien onwaar toetst het programma bij kortere rentevast perioden altijd met de chf rente. Ook als de rente hoger ligt dan de CHF. </t>
  </si>
  <si>
    <t>CHF</t>
  </si>
  <si>
    <t>Bank CHF</t>
  </si>
  <si>
    <t>bepalen of ergens CHF toetsrente wordt gebruikt</t>
  </si>
  <si>
    <t>toetsrente tabel CHF</t>
  </si>
  <si>
    <t>gebruikte CHF toetsrente</t>
  </si>
  <si>
    <t>introductiedatum CHF toetsrente</t>
  </si>
  <si>
    <t>Invulvelden voor CHF toetsrente</t>
  </si>
  <si>
    <t>Gebruiksaanwijzing</t>
  </si>
  <si>
    <t>Inleiding</t>
  </si>
  <si>
    <t>In de Online toets en de Kladbloktoets dient een toetsrente te worden ingevuld. Norm 12.3 geeft aan hoe 
men de toetsrente moet bepalen. De strekking van norm 12.3 is als volgt:</t>
  </si>
  <si>
    <r>
      <t xml:space="preserve">Indien de hypotheekrente van de lening 10 jaar of langer vaststaat, wordt voor de toetsing uitgegaan van de geoffreerde hypotheekrente.
Indien de (resterende) rentevastperiode korter dan 10 jaar is, dient te worden getoetst op de toetsrente van de Gedragscode Hypothecaire Financieringen. 
Indien er sprake is van een aanvullende lening en/of meerdere leningdelen, dient de toetsrente als volgt te worden berekend. De rente wordt gewogen op basis van de hoofdsom en de (resterende) looptijd in maanden van elk(e) lening(deel). Deze weging dient als volgt plaats te vinden:
 (K1*L1*R1)+(K2*L2*R2)+......+(Kn*Ln*Rn) 
 ----------------------------------------------------------------
     (K1*L1)+(K2*L2)+......+(Kn*Ln) 
waarbij geldt: 
K =              hoofdsom van het leningdeel
L =              (resterende) looptijd van het leningdeel in maanden
R =              toetsrente van het leningdeel 
1, 2, ..., n = aantal leningdelen
De aldus berekende rente dient rekenkundig te worden afgerond op 2 decimalen.
</t>
    </r>
    <r>
      <rPr>
        <i/>
        <sz val="10"/>
        <rFont val="Arial"/>
        <family val="2"/>
      </rPr>
      <t>(bron: norm 12.3 uit de Voorwaarden en Normen)</t>
    </r>
  </si>
  <si>
    <t>Voor voorgaande weging is dit model ontwikkeld.</t>
  </si>
  <si>
    <t>Invulinstructies</t>
  </si>
  <si>
    <t>datum van offreren</t>
  </si>
  <si>
    <t>Hoofdsom</t>
  </si>
  <si>
    <t>resterende looptijd</t>
  </si>
  <si>
    <t>rentepercentage</t>
  </si>
  <si>
    <t>(resterende) rentevastperiode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</si>
</sst>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0.0000"/>
    <numFmt numFmtId="166" formatCode="0.000000000"/>
  </numFmts>
  <fonts count="60">
    <font>
      <sz val="10"/>
      <name val="Arial"/>
    </font>
    <font>
      <sz val="10"/>
      <name val="Arial"/>
      <family val="2"/>
    </font>
    <font>
      <sz val="8"/>
      <name val="Arial"/>
      <family val="2"/>
    </font>
    <font>
      <b/>
      <sz val="10"/>
      <name val="Arial"/>
      <family val="2"/>
    </font>
    <font>
      <u/>
      <sz val="10"/>
      <color indexed="12"/>
      <name val="Arial"/>
      <family val="2"/>
    </font>
    <font>
      <sz val="9"/>
      <name val="Arial"/>
      <family val="2"/>
    </font>
    <font>
      <sz val="6"/>
      <name val="Arial"/>
      <family val="2"/>
    </font>
    <font>
      <sz val="16"/>
      <name val="Impact"/>
      <family val="2"/>
    </font>
    <font>
      <b/>
      <sz val="10"/>
      <color indexed="10"/>
      <name val="Arial"/>
      <family val="2"/>
    </font>
    <font>
      <sz val="10"/>
      <color indexed="8"/>
      <name val="Arial"/>
      <family val="2"/>
    </font>
    <font>
      <b/>
      <sz val="9"/>
      <color indexed="8"/>
      <name val="Arial"/>
      <family val="2"/>
    </font>
    <font>
      <sz val="10.5"/>
      <color indexed="8"/>
      <name val="Verdana"/>
      <family val="2"/>
    </font>
    <font>
      <sz val="10"/>
      <color indexed="16"/>
      <name val="Arial"/>
      <family val="2"/>
    </font>
    <font>
      <b/>
      <sz val="9"/>
      <color indexed="16"/>
      <name val="Arial"/>
      <family val="2"/>
    </font>
    <font>
      <sz val="7"/>
      <color indexed="16"/>
      <name val="Gill Sans MT Condensed"/>
      <family val="2"/>
    </font>
    <font>
      <sz val="8"/>
      <color indexed="81"/>
      <name val="Tahoma"/>
      <family val="2"/>
    </font>
    <font>
      <b/>
      <sz val="8"/>
      <color indexed="10"/>
      <name val="Tahoma"/>
      <family val="2"/>
    </font>
    <font>
      <sz val="9"/>
      <color indexed="8"/>
      <name val="Arial"/>
      <family val="2"/>
    </font>
    <font>
      <sz val="10"/>
      <color indexed="10"/>
      <name val="Arial"/>
      <family val="2"/>
    </font>
    <font>
      <b/>
      <sz val="8"/>
      <color indexed="10"/>
      <name val="Arial"/>
      <family val="2"/>
    </font>
    <font>
      <b/>
      <sz val="10"/>
      <color indexed="8"/>
      <name val="Arial"/>
      <family val="2"/>
    </font>
    <font>
      <sz val="12"/>
      <name val="Arial"/>
      <family val="2"/>
    </font>
    <font>
      <b/>
      <sz val="10"/>
      <color indexed="16"/>
      <name val="Arial"/>
      <family val="2"/>
    </font>
    <font>
      <b/>
      <sz val="8"/>
      <color indexed="16"/>
      <name val="Arial"/>
      <family val="2"/>
    </font>
    <font>
      <sz val="10"/>
      <color indexed="9"/>
      <name val="Arial"/>
      <family val="2"/>
    </font>
    <font>
      <i/>
      <sz val="10"/>
      <name val="Arial"/>
      <family val="2"/>
    </font>
    <font>
      <b/>
      <sz val="8"/>
      <color indexed="9"/>
      <name val="Arial"/>
      <family val="2"/>
    </font>
    <font>
      <sz val="10"/>
      <color indexed="62"/>
      <name val="Calibri"/>
      <family val="2"/>
    </font>
    <font>
      <sz val="10"/>
      <name val="Calibri"/>
      <family val="2"/>
      <scheme val="minor"/>
    </font>
    <font>
      <sz val="10.5"/>
      <color indexed="8"/>
      <name val="Calibri"/>
      <family val="2"/>
      <scheme val="minor"/>
    </font>
    <font>
      <sz val="18"/>
      <color indexed="16"/>
      <name val="Calibri"/>
      <family val="2"/>
      <scheme val="minor"/>
    </font>
    <font>
      <b/>
      <sz val="10"/>
      <name val="Calibri"/>
      <family val="2"/>
      <scheme val="minor"/>
    </font>
    <font>
      <sz val="10"/>
      <color indexed="8"/>
      <name val="Calibri"/>
      <family val="2"/>
      <scheme val="minor"/>
    </font>
    <font>
      <sz val="9"/>
      <name val="Calibri"/>
      <family val="2"/>
      <scheme val="minor"/>
    </font>
    <font>
      <b/>
      <sz val="9"/>
      <color indexed="8"/>
      <name val="Calibri"/>
      <family val="2"/>
      <scheme val="minor"/>
    </font>
    <font>
      <sz val="9"/>
      <color indexed="8"/>
      <name val="Calibri"/>
      <family val="2"/>
      <scheme val="minor"/>
    </font>
    <font>
      <b/>
      <sz val="9"/>
      <color indexed="16"/>
      <name val="Calibri"/>
      <family val="2"/>
      <scheme val="minor"/>
    </font>
    <font>
      <b/>
      <sz val="10"/>
      <color indexed="10"/>
      <name val="Calibri"/>
      <family val="2"/>
      <scheme val="minor"/>
    </font>
    <font>
      <sz val="12"/>
      <name val="Calibri"/>
      <family val="2"/>
      <scheme val="minor"/>
    </font>
    <font>
      <sz val="10"/>
      <color indexed="10"/>
      <name val="Calibri"/>
      <family val="2"/>
      <scheme val="minor"/>
    </font>
    <font>
      <u/>
      <sz val="9"/>
      <name val="Calibri"/>
      <family val="2"/>
      <scheme val="minor"/>
    </font>
    <font>
      <b/>
      <sz val="8"/>
      <color indexed="16"/>
      <name val="Calibri"/>
      <family val="2"/>
      <scheme val="minor"/>
    </font>
    <font>
      <sz val="16"/>
      <name val="Calibri"/>
      <family val="2"/>
      <scheme val="minor"/>
    </font>
    <font>
      <b/>
      <sz val="9"/>
      <name val="Calibri"/>
      <family val="2"/>
      <scheme val="minor"/>
    </font>
    <font>
      <sz val="6"/>
      <name val="Calibri"/>
      <family val="2"/>
      <scheme val="minor"/>
    </font>
    <font>
      <b/>
      <sz val="6"/>
      <name val="Calibri"/>
      <family val="2"/>
      <scheme val="minor"/>
    </font>
    <font>
      <sz val="8"/>
      <name val="Calibri"/>
      <family val="2"/>
      <scheme val="minor"/>
    </font>
    <font>
      <b/>
      <sz val="8"/>
      <name val="Calibri"/>
      <family val="2"/>
      <scheme val="minor"/>
    </font>
    <font>
      <sz val="13"/>
      <name val="Calibri"/>
      <family val="2"/>
      <scheme val="minor"/>
    </font>
    <font>
      <sz val="7"/>
      <color indexed="16"/>
      <name val="Calibri"/>
      <family val="2"/>
      <scheme val="minor"/>
    </font>
    <font>
      <sz val="10"/>
      <color indexed="16"/>
      <name val="Calibri"/>
      <family val="2"/>
      <scheme val="minor"/>
    </font>
    <font>
      <b/>
      <sz val="16"/>
      <name val="Calibri"/>
      <family val="2"/>
      <scheme val="minor"/>
    </font>
    <font>
      <b/>
      <i/>
      <sz val="8"/>
      <name val="Calibri"/>
      <family val="2"/>
      <scheme val="minor"/>
    </font>
    <font>
      <u/>
      <sz val="10"/>
      <color indexed="12"/>
      <name val="Calibri"/>
      <family val="2"/>
      <scheme val="minor"/>
    </font>
    <font>
      <b/>
      <sz val="10"/>
      <color rgb="FF243657"/>
      <name val="Calibri"/>
      <family val="2"/>
      <scheme val="minor"/>
    </font>
    <font>
      <sz val="10"/>
      <color rgb="FF243657"/>
      <name val="Calibri"/>
      <family val="2"/>
      <scheme val="minor"/>
    </font>
    <font>
      <u/>
      <sz val="10"/>
      <color rgb="FF243657"/>
      <name val="Calibri"/>
      <family val="2"/>
      <scheme val="minor"/>
    </font>
    <font>
      <b/>
      <i/>
      <sz val="8"/>
      <color rgb="FF243657"/>
      <name val="Arial"/>
      <family val="2"/>
    </font>
    <font>
      <b/>
      <sz val="10"/>
      <color theme="0"/>
      <name val="Calibri"/>
      <family val="2"/>
      <scheme val="minor"/>
    </font>
    <font>
      <b/>
      <sz val="10"/>
      <color rgb="FFFF0000"/>
      <name val="Calibri"/>
      <family val="2"/>
      <scheme val="minor"/>
    </font>
  </fonts>
  <fills count="15">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16"/>
        <bgColor indexed="64"/>
      </patternFill>
    </fill>
    <fill>
      <patternFill patternType="solid">
        <fgColor indexed="43"/>
        <bgColor indexed="64"/>
      </patternFill>
    </fill>
    <fill>
      <patternFill patternType="solid">
        <fgColor indexed="23"/>
        <bgColor indexed="64"/>
      </patternFill>
    </fill>
    <fill>
      <patternFill patternType="solid">
        <fgColor indexed="13"/>
        <bgColor indexed="64"/>
      </patternFill>
    </fill>
    <fill>
      <patternFill patternType="solid">
        <fgColor indexed="44"/>
        <bgColor indexed="64"/>
      </patternFill>
    </fill>
    <fill>
      <patternFill patternType="solid">
        <fgColor indexed="11"/>
        <bgColor indexed="64"/>
      </patternFill>
    </fill>
    <fill>
      <patternFill patternType="solid">
        <fgColor indexed="10"/>
        <bgColor indexed="64"/>
      </patternFill>
    </fill>
    <fill>
      <patternFill patternType="solid">
        <fgColor rgb="FFEFF3F6"/>
        <bgColor indexed="64"/>
      </patternFill>
    </fill>
    <fill>
      <patternFill patternType="solid">
        <fgColor rgb="FF028C93"/>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top/>
      <bottom/>
      <diagonal/>
    </border>
    <border>
      <left style="thin">
        <color indexed="9"/>
      </left>
      <right/>
      <top/>
      <bottom style="thin">
        <color indexed="9"/>
      </bottom>
      <diagonal/>
    </border>
    <border>
      <left/>
      <right/>
      <top/>
      <bottom style="thin">
        <color indexed="9"/>
      </bottom>
      <diagonal/>
    </border>
    <border>
      <left/>
      <right style="thin">
        <color indexed="9"/>
      </right>
      <top style="thin">
        <color indexed="9"/>
      </top>
      <bottom/>
      <diagonal/>
    </border>
    <border>
      <left/>
      <right style="thin">
        <color indexed="9"/>
      </right>
      <top/>
      <bottom/>
      <diagonal/>
    </border>
    <border>
      <left/>
      <right style="thin">
        <color indexed="9"/>
      </right>
      <top/>
      <bottom style="thin">
        <color indexed="9"/>
      </bottom>
      <diagonal/>
    </border>
    <border>
      <left style="thin">
        <color indexed="16"/>
      </left>
      <right/>
      <top style="thin">
        <color indexed="16"/>
      </top>
      <bottom style="thin">
        <color indexed="16"/>
      </bottom>
      <diagonal/>
    </border>
    <border>
      <left/>
      <right/>
      <top style="thin">
        <color indexed="16"/>
      </top>
      <bottom style="thin">
        <color indexed="16"/>
      </bottom>
      <diagonal/>
    </border>
    <border>
      <left/>
      <right style="thin">
        <color indexed="16"/>
      </right>
      <top style="thin">
        <color indexed="16"/>
      </top>
      <bottom style="thin">
        <color indexed="16"/>
      </bottom>
      <diagonal/>
    </border>
    <border>
      <left style="thin">
        <color indexed="16"/>
      </left>
      <right style="thin">
        <color indexed="16"/>
      </right>
      <top style="thin">
        <color indexed="16"/>
      </top>
      <bottom style="thin">
        <color indexed="16"/>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164" fontId="1" fillId="0" borderId="0" applyFont="0" applyFill="0" applyBorder="0" applyAlignment="0" applyProtection="0"/>
  </cellStyleXfs>
  <cellXfs count="375">
    <xf numFmtId="0" fontId="0" fillId="0" borderId="0" xfId="0"/>
    <xf numFmtId="0" fontId="0" fillId="2" borderId="1" xfId="0" applyFill="1" applyBorder="1"/>
    <xf numFmtId="14" fontId="0" fillId="2" borderId="1" xfId="0" applyNumberFormat="1" applyFill="1" applyBorder="1"/>
    <xf numFmtId="0" fontId="0" fillId="2" borderId="2" xfId="0" applyFill="1" applyBorder="1"/>
    <xf numFmtId="14" fontId="0" fillId="2" borderId="2" xfId="0" applyNumberFormat="1" applyFill="1" applyBorder="1"/>
    <xf numFmtId="0" fontId="0" fillId="2" borderId="3" xfId="0" applyFill="1" applyBorder="1"/>
    <xf numFmtId="14" fontId="0" fillId="2" borderId="3" xfId="0" applyNumberFormat="1" applyFill="1" applyBorder="1"/>
    <xf numFmtId="0" fontId="0" fillId="3" borderId="3" xfId="0" applyFill="1" applyBorder="1"/>
    <xf numFmtId="0" fontId="0" fillId="3" borderId="3" xfId="0" applyFill="1" applyBorder="1" applyAlignment="1">
      <alignment wrapText="1"/>
    </xf>
    <xf numFmtId="0" fontId="0" fillId="3" borderId="4" xfId="0" applyFill="1" applyBorder="1"/>
    <xf numFmtId="0" fontId="3" fillId="3" borderId="5" xfId="0" applyFont="1" applyFill="1" applyBorder="1"/>
    <xf numFmtId="0" fontId="0" fillId="3" borderId="5" xfId="0" applyFill="1" applyBorder="1"/>
    <xf numFmtId="0" fontId="0" fillId="3" borderId="6" xfId="0" applyFill="1" applyBorder="1"/>
    <xf numFmtId="0" fontId="0" fillId="4" borderId="0" xfId="0" applyFill="1"/>
    <xf numFmtId="0" fontId="3" fillId="4" borderId="0" xfId="0" applyFont="1" applyFill="1"/>
    <xf numFmtId="0" fontId="0" fillId="2" borderId="0" xfId="0" applyFill="1"/>
    <xf numFmtId="0" fontId="3" fillId="3" borderId="7" xfId="0" applyFont="1"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18" fillId="0" borderId="0" xfId="0" applyFont="1"/>
    <xf numFmtId="0" fontId="0" fillId="2" borderId="12" xfId="0" applyFill="1" applyBorder="1"/>
    <xf numFmtId="0" fontId="0" fillId="2" borderId="13" xfId="0" applyFill="1" applyBorder="1"/>
    <xf numFmtId="0" fontId="9" fillId="2" borderId="12" xfId="0" applyFont="1" applyFill="1" applyBorder="1"/>
    <xf numFmtId="0" fontId="9" fillId="2" borderId="0" xfId="0" applyFont="1" applyFill="1"/>
    <xf numFmtId="0" fontId="9" fillId="2" borderId="13" xfId="0" applyFont="1" applyFill="1" applyBorder="1"/>
    <xf numFmtId="10" fontId="10" fillId="2" borderId="7" xfId="0" applyNumberFormat="1" applyFont="1" applyFill="1" applyBorder="1"/>
    <xf numFmtId="0" fontId="17" fillId="2" borderId="7" xfId="0" applyFont="1" applyFill="1" applyBorder="1" applyAlignment="1">
      <alignment wrapText="1"/>
    </xf>
    <xf numFmtId="10" fontId="10" fillId="2" borderId="7" xfId="0" applyNumberFormat="1" applyFont="1" applyFill="1" applyBorder="1" applyAlignment="1">
      <alignment horizontal="right"/>
    </xf>
    <xf numFmtId="0" fontId="0" fillId="2" borderId="7" xfId="0" applyFill="1" applyBorder="1"/>
    <xf numFmtId="10" fontId="0" fillId="2" borderId="7" xfId="3" applyNumberFormat="1" applyFont="1" applyFill="1" applyBorder="1"/>
    <xf numFmtId="0" fontId="3" fillId="2" borderId="7" xfId="0" applyFont="1" applyFill="1" applyBorder="1"/>
    <xf numFmtId="2" fontId="3" fillId="2" borderId="4" xfId="0" applyNumberFormat="1" applyFont="1" applyFill="1" applyBorder="1"/>
    <xf numFmtId="0" fontId="0" fillId="2" borderId="6" xfId="0" applyFill="1" applyBorder="1"/>
    <xf numFmtId="165" fontId="3" fillId="2" borderId="4" xfId="0" applyNumberFormat="1" applyFont="1" applyFill="1" applyBorder="1"/>
    <xf numFmtId="10" fontId="17" fillId="4" borderId="12" xfId="0" applyNumberFormat="1" applyFont="1" applyFill="1" applyBorder="1"/>
    <xf numFmtId="10" fontId="17" fillId="4" borderId="13" xfId="0" applyNumberFormat="1" applyFont="1" applyFill="1" applyBorder="1"/>
    <xf numFmtId="0" fontId="0" fillId="3" borderId="7" xfId="0" applyFill="1" applyBorder="1"/>
    <xf numFmtId="164" fontId="9" fillId="2" borderId="7" xfId="0" applyNumberFormat="1" applyFont="1" applyFill="1" applyBorder="1" applyProtection="1">
      <protection hidden="1"/>
    </xf>
    <xf numFmtId="164" fontId="9" fillId="2" borderId="7" xfId="0" applyNumberFormat="1" applyFont="1" applyFill="1" applyBorder="1"/>
    <xf numFmtId="0" fontId="21" fillId="4" borderId="0" xfId="0" applyFont="1" applyFill="1"/>
    <xf numFmtId="0" fontId="0" fillId="5" borderId="7" xfId="0" applyFill="1" applyBorder="1"/>
    <xf numFmtId="0" fontId="24" fillId="6" borderId="7" xfId="0" applyFont="1" applyFill="1" applyBorder="1"/>
    <xf numFmtId="0" fontId="0" fillId="7" borderId="7" xfId="0" applyFill="1" applyBorder="1"/>
    <xf numFmtId="0" fontId="18" fillId="3" borderId="6" xfId="0" applyFont="1" applyFill="1" applyBorder="1"/>
    <xf numFmtId="10" fontId="0" fillId="5" borderId="7" xfId="0" applyNumberFormat="1" applyFill="1" applyBorder="1"/>
    <xf numFmtId="0" fontId="0" fillId="5" borderId="10" xfId="0" applyFill="1" applyBorder="1"/>
    <xf numFmtId="0" fontId="0" fillId="5" borderId="14" xfId="0" applyFill="1" applyBorder="1"/>
    <xf numFmtId="0" fontId="0" fillId="5" borderId="11" xfId="0" applyFill="1" applyBorder="1"/>
    <xf numFmtId="0" fontId="9" fillId="8" borderId="7" xfId="0" applyFont="1" applyFill="1" applyBorder="1"/>
    <xf numFmtId="0" fontId="0" fillId="8" borderId="7" xfId="0" applyFill="1" applyBorder="1"/>
    <xf numFmtId="10" fontId="0" fillId="9" borderId="7" xfId="0" applyNumberFormat="1" applyFill="1" applyBorder="1"/>
    <xf numFmtId="0" fontId="0" fillId="9" borderId="7" xfId="0" applyFill="1" applyBorder="1"/>
    <xf numFmtId="0" fontId="0" fillId="3" borderId="7" xfId="0" applyFill="1" applyBorder="1" applyAlignment="1">
      <alignment wrapText="1"/>
    </xf>
    <xf numFmtId="0" fontId="0" fillId="4" borderId="4" xfId="0" applyFill="1" applyBorder="1"/>
    <xf numFmtId="0" fontId="0" fillId="4" borderId="5" xfId="0" applyFill="1" applyBorder="1"/>
    <xf numFmtId="0" fontId="0" fillId="4" borderId="6" xfId="0" applyFill="1" applyBorder="1"/>
    <xf numFmtId="0" fontId="0" fillId="10" borderId="4" xfId="0" applyFill="1" applyBorder="1"/>
    <xf numFmtId="0" fontId="0" fillId="4" borderId="15" xfId="0" applyFill="1" applyBorder="1"/>
    <xf numFmtId="0" fontId="0" fillId="4" borderId="9" xfId="0" applyFill="1" applyBorder="1"/>
    <xf numFmtId="14" fontId="0" fillId="11" borderId="7" xfId="0" applyNumberFormat="1" applyFill="1" applyBorder="1"/>
    <xf numFmtId="0" fontId="0" fillId="11" borderId="4" xfId="0" applyFill="1" applyBorder="1"/>
    <xf numFmtId="0" fontId="0" fillId="3" borderId="15" xfId="0" applyFill="1" applyBorder="1"/>
    <xf numFmtId="10" fontId="3" fillId="2" borderId="1" xfId="0" applyNumberFormat="1" applyFont="1" applyFill="1" applyBorder="1"/>
    <xf numFmtId="0" fontId="0" fillId="4" borderId="8" xfId="0" applyFill="1" applyBorder="1"/>
    <xf numFmtId="0" fontId="1" fillId="2" borderId="7" xfId="0" applyFont="1" applyFill="1" applyBorder="1"/>
    <xf numFmtId="0" fontId="0" fillId="0" borderId="0" xfId="0" applyAlignment="1">
      <alignment wrapText="1"/>
    </xf>
    <xf numFmtId="0" fontId="3" fillId="0" borderId="0" xfId="0" applyFont="1"/>
    <xf numFmtId="0" fontId="22" fillId="2" borderId="0" xfId="0" applyFont="1" applyFill="1" applyAlignment="1">
      <alignment horizontal="left"/>
    </xf>
    <xf numFmtId="0" fontId="3" fillId="0" borderId="0" xfId="0" applyFont="1" applyAlignment="1">
      <alignment horizontal="left"/>
    </xf>
    <xf numFmtId="0" fontId="3" fillId="0" borderId="0" xfId="0" applyFont="1" applyAlignment="1">
      <alignment horizontal="left" vertical="top"/>
    </xf>
    <xf numFmtId="0" fontId="0" fillId="0" borderId="0" xfId="0" applyAlignment="1">
      <alignment horizontal="left"/>
    </xf>
    <xf numFmtId="0" fontId="8" fillId="9" borderId="5" xfId="0" applyFont="1" applyFill="1" applyBorder="1"/>
    <xf numFmtId="0" fontId="8" fillId="9" borderId="6" xfId="0" applyFont="1" applyFill="1" applyBorder="1"/>
    <xf numFmtId="0" fontId="8" fillId="4" borderId="4" xfId="0" applyFont="1" applyFill="1" applyBorder="1"/>
    <xf numFmtId="10" fontId="10" fillId="2" borderId="7" xfId="3" applyNumberFormat="1" applyFont="1" applyFill="1" applyBorder="1" applyAlignment="1" applyProtection="1">
      <alignment wrapText="1"/>
    </xf>
    <xf numFmtId="10" fontId="17" fillId="2" borderId="7" xfId="3" applyNumberFormat="1" applyFont="1" applyFill="1" applyBorder="1" applyAlignment="1" applyProtection="1">
      <alignment wrapText="1"/>
    </xf>
    <xf numFmtId="10" fontId="13" fillId="2" borderId="7" xfId="3" applyNumberFormat="1" applyFont="1" applyFill="1" applyBorder="1" applyAlignment="1" applyProtection="1">
      <alignment wrapText="1"/>
    </xf>
    <xf numFmtId="0" fontId="0" fillId="4" borderId="7" xfId="0" applyFill="1" applyBorder="1" applyProtection="1">
      <protection locked="0"/>
    </xf>
    <xf numFmtId="14" fontId="0" fillId="2" borderId="7" xfId="0" applyNumberFormat="1" applyFill="1" applyBorder="1"/>
    <xf numFmtId="14" fontId="0" fillId="5" borderId="7" xfId="0" applyNumberFormat="1" applyFill="1" applyBorder="1"/>
    <xf numFmtId="0" fontId="8" fillId="9" borderId="4" xfId="0" applyFont="1" applyFill="1" applyBorder="1" applyAlignment="1">
      <alignment wrapText="1"/>
    </xf>
    <xf numFmtId="0" fontId="8" fillId="9" borderId="5" xfId="0" applyFont="1" applyFill="1" applyBorder="1" applyAlignment="1">
      <alignment horizontal="center" vertical="top"/>
    </xf>
    <xf numFmtId="0" fontId="0" fillId="2" borderId="14" xfId="0" applyFill="1" applyBorder="1"/>
    <xf numFmtId="10" fontId="0" fillId="9" borderId="15" xfId="0" applyNumberFormat="1" applyFill="1" applyBorder="1"/>
    <xf numFmtId="14" fontId="0" fillId="2" borderId="8" xfId="0" applyNumberFormat="1" applyFill="1" applyBorder="1"/>
    <xf numFmtId="14" fontId="0" fillId="2" borderId="12" xfId="0" applyNumberFormat="1" applyFill="1" applyBorder="1"/>
    <xf numFmtId="14" fontId="0" fillId="2" borderId="10" xfId="0" applyNumberFormat="1" applyFill="1" applyBorder="1"/>
    <xf numFmtId="10" fontId="0" fillId="9" borderId="6" xfId="0" applyNumberFormat="1" applyFill="1" applyBorder="1"/>
    <xf numFmtId="0" fontId="0" fillId="2" borderId="15" xfId="0" applyFill="1" applyBorder="1"/>
    <xf numFmtId="0" fontId="11" fillId="4" borderId="0" xfId="0" applyFont="1" applyFill="1"/>
    <xf numFmtId="0" fontId="7" fillId="4" borderId="0" xfId="0" applyFont="1" applyFill="1" applyAlignment="1">
      <alignment horizontal="center"/>
    </xf>
    <xf numFmtId="0" fontId="5" fillId="4" borderId="0" xfId="0" applyFont="1" applyFill="1"/>
    <xf numFmtId="0" fontId="14" fillId="4" borderId="0" xfId="0" applyFont="1" applyFill="1" applyAlignment="1">
      <alignment horizontal="right" vertical="center" textRotation="90" wrapText="1"/>
    </xf>
    <xf numFmtId="0" fontId="12" fillId="4" borderId="0" xfId="0" applyFont="1" applyFill="1" applyAlignment="1">
      <alignment horizontal="right" vertical="center" textRotation="90"/>
    </xf>
    <xf numFmtId="0" fontId="20" fillId="4" borderId="0" xfId="0" applyFont="1" applyFill="1" applyAlignment="1">
      <alignment vertical="center"/>
    </xf>
    <xf numFmtId="0" fontId="19" fillId="4" borderId="0" xfId="0" applyFont="1" applyFill="1" applyAlignment="1" applyProtection="1">
      <alignment horizontal="center" vertical="center" wrapText="1"/>
      <protection locked="0"/>
    </xf>
    <xf numFmtId="0" fontId="6" fillId="4" borderId="0" xfId="0" applyFont="1" applyFill="1"/>
    <xf numFmtId="0" fontId="19" fillId="4" borderId="0" xfId="0" applyFont="1" applyFill="1" applyAlignment="1">
      <alignment horizontal="center" vertical="center" wrapText="1"/>
    </xf>
    <xf numFmtId="0" fontId="4" fillId="4" borderId="0" xfId="2" applyFill="1" applyBorder="1" applyAlignment="1" applyProtection="1">
      <alignment horizontal="right"/>
    </xf>
    <xf numFmtId="0" fontId="28" fillId="4" borderId="0" xfId="0" applyFont="1" applyFill="1"/>
    <xf numFmtId="0" fontId="29" fillId="0" borderId="0" xfId="0" applyFont="1"/>
    <xf numFmtId="0" fontId="28" fillId="0" borderId="0" xfId="0" applyFont="1"/>
    <xf numFmtId="0" fontId="30" fillId="4" borderId="0" xfId="0" applyFont="1" applyFill="1" applyAlignment="1">
      <alignment horizontal="center"/>
    </xf>
    <xf numFmtId="0" fontId="28" fillId="7" borderId="7" xfId="0" applyFont="1" applyFill="1" applyBorder="1"/>
    <xf numFmtId="0" fontId="28" fillId="2" borderId="12" xfId="0" applyFont="1" applyFill="1" applyBorder="1"/>
    <xf numFmtId="0" fontId="28" fillId="2" borderId="0" xfId="0" applyFont="1" applyFill="1"/>
    <xf numFmtId="0" fontId="28" fillId="2" borderId="13" xfId="0" applyFont="1" applyFill="1" applyBorder="1"/>
    <xf numFmtId="14" fontId="28" fillId="4" borderId="7" xfId="0" applyNumberFormat="1" applyFont="1" applyFill="1" applyBorder="1" applyProtection="1">
      <protection locked="0"/>
    </xf>
    <xf numFmtId="0" fontId="28" fillId="4" borderId="7" xfId="0" applyFont="1" applyFill="1" applyBorder="1" applyProtection="1">
      <protection locked="0"/>
    </xf>
    <xf numFmtId="164" fontId="33" fillId="4" borderId="7" xfId="1" applyFont="1" applyFill="1" applyBorder="1" applyProtection="1">
      <protection locked="0"/>
    </xf>
    <xf numFmtId="0" fontId="33" fillId="4" borderId="7" xfId="0" applyFont="1" applyFill="1" applyBorder="1" applyProtection="1">
      <protection locked="0"/>
    </xf>
    <xf numFmtId="10" fontId="34" fillId="2" borderId="7" xfId="0" applyNumberFormat="1" applyFont="1" applyFill="1" applyBorder="1"/>
    <xf numFmtId="0" fontId="35" fillId="2" borderId="7" xfId="0" applyFont="1" applyFill="1" applyBorder="1" applyAlignment="1">
      <alignment wrapText="1"/>
    </xf>
    <xf numFmtId="10" fontId="33" fillId="4" borderId="7" xfId="0" applyNumberFormat="1" applyFont="1" applyFill="1" applyBorder="1" applyProtection="1">
      <protection locked="0"/>
    </xf>
    <xf numFmtId="10" fontId="34" fillId="2" borderId="7" xfId="0" applyNumberFormat="1" applyFont="1" applyFill="1" applyBorder="1" applyAlignment="1">
      <alignment horizontal="right"/>
    </xf>
    <xf numFmtId="1" fontId="33" fillId="4" borderId="7" xfId="0" applyNumberFormat="1" applyFont="1" applyFill="1" applyBorder="1" applyProtection="1">
      <protection locked="0"/>
    </xf>
    <xf numFmtId="10" fontId="36" fillId="2" borderId="7" xfId="3" applyNumberFormat="1" applyFont="1" applyFill="1" applyBorder="1" applyAlignment="1" applyProtection="1">
      <alignment wrapText="1"/>
    </xf>
    <xf numFmtId="10" fontId="35" fillId="2" borderId="7" xfId="3" applyNumberFormat="1" applyFont="1" applyFill="1" applyBorder="1" applyAlignment="1" applyProtection="1">
      <alignment wrapText="1"/>
    </xf>
    <xf numFmtId="0" fontId="32" fillId="2" borderId="12" xfId="0" applyFont="1" applyFill="1" applyBorder="1"/>
    <xf numFmtId="0" fontId="32" fillId="2" borderId="0" xfId="0" applyFont="1" applyFill="1"/>
    <xf numFmtId="0" fontId="32" fillId="2" borderId="13" xfId="0" applyFont="1" applyFill="1" applyBorder="1"/>
    <xf numFmtId="10" fontId="35" fillId="4" borderId="12" xfId="0" applyNumberFormat="1" applyFont="1" applyFill="1" applyBorder="1"/>
    <xf numFmtId="10" fontId="35" fillId="4" borderId="13" xfId="0" applyNumberFormat="1" applyFont="1" applyFill="1" applyBorder="1"/>
    <xf numFmtId="10" fontId="34" fillId="2" borderId="7" xfId="3" applyNumberFormat="1" applyFont="1" applyFill="1" applyBorder="1" applyAlignment="1" applyProtection="1">
      <alignment wrapText="1"/>
    </xf>
    <xf numFmtId="0" fontId="31" fillId="4" borderId="0" xfId="0" applyFont="1" applyFill="1"/>
    <xf numFmtId="0" fontId="37" fillId="4" borderId="4" xfId="0" applyFont="1" applyFill="1" applyBorder="1"/>
    <xf numFmtId="0" fontId="28" fillId="4" borderId="5" xfId="0" applyFont="1" applyFill="1" applyBorder="1"/>
    <xf numFmtId="0" fontId="28" fillId="4" borderId="6" xfId="0" applyFont="1" applyFill="1" applyBorder="1"/>
    <xf numFmtId="0" fontId="37" fillId="9" borderId="4" xfId="0" applyFont="1" applyFill="1" applyBorder="1" applyAlignment="1">
      <alignment wrapText="1"/>
    </xf>
    <xf numFmtId="0" fontId="37" fillId="9" borderId="5" xfId="0" applyFont="1" applyFill="1" applyBorder="1" applyAlignment="1">
      <alignment horizontal="center" vertical="top"/>
    </xf>
    <xf numFmtId="0" fontId="37" fillId="9" borderId="5" xfId="0" applyFont="1" applyFill="1" applyBorder="1"/>
    <xf numFmtId="0" fontId="37" fillId="9" borderId="6" xfId="0" applyFont="1" applyFill="1" applyBorder="1"/>
    <xf numFmtId="0" fontId="28" fillId="5" borderId="10" xfId="0" applyFont="1" applyFill="1" applyBorder="1"/>
    <xf numFmtId="0" fontId="28" fillId="5" borderId="14" xfId="0" applyFont="1" applyFill="1" applyBorder="1"/>
    <xf numFmtId="0" fontId="28" fillId="5" borderId="11" xfId="0" applyFont="1" applyFill="1" applyBorder="1"/>
    <xf numFmtId="0" fontId="38" fillId="4" borderId="0" xfId="0" applyFont="1" applyFill="1"/>
    <xf numFmtId="0" fontId="39" fillId="0" borderId="0" xfId="0" applyFont="1"/>
    <xf numFmtId="0" fontId="28" fillId="3" borderId="7" xfId="0" applyFont="1" applyFill="1" applyBorder="1"/>
    <xf numFmtId="0" fontId="28" fillId="3" borderId="4" xfId="0" applyFont="1" applyFill="1" applyBorder="1"/>
    <xf numFmtId="0" fontId="28" fillId="3" borderId="5" xfId="0" applyFont="1" applyFill="1" applyBorder="1"/>
    <xf numFmtId="0" fontId="39" fillId="3" borderId="6" xfId="0" applyFont="1" applyFill="1" applyBorder="1"/>
    <xf numFmtId="164" fontId="28" fillId="2" borderId="7" xfId="0" applyNumberFormat="1" applyFont="1" applyFill="1" applyBorder="1" applyProtection="1">
      <protection hidden="1"/>
    </xf>
    <xf numFmtId="10" fontId="28" fillId="5" borderId="7" xfId="0" applyNumberFormat="1" applyFont="1" applyFill="1" applyBorder="1"/>
    <xf numFmtId="0" fontId="31" fillId="3" borderId="5" xfId="0" applyFont="1" applyFill="1" applyBorder="1"/>
    <xf numFmtId="0" fontId="28" fillId="3" borderId="6" xfId="0" applyFont="1" applyFill="1" applyBorder="1"/>
    <xf numFmtId="14" fontId="28" fillId="0" borderId="0" xfId="0" applyNumberFormat="1" applyFont="1"/>
    <xf numFmtId="0" fontId="28" fillId="3" borderId="7" xfId="0" applyFont="1" applyFill="1" applyBorder="1" applyAlignment="1">
      <alignment wrapText="1"/>
    </xf>
    <xf numFmtId="0" fontId="28" fillId="3" borderId="3" xfId="0" applyFont="1" applyFill="1" applyBorder="1"/>
    <xf numFmtId="0" fontId="28" fillId="3" borderId="3" xfId="0" applyFont="1" applyFill="1" applyBorder="1" applyAlignment="1">
      <alignment wrapText="1"/>
    </xf>
    <xf numFmtId="164" fontId="28" fillId="2" borderId="7" xfId="0" applyNumberFormat="1" applyFont="1" applyFill="1" applyBorder="1"/>
    <xf numFmtId="0" fontId="28" fillId="2" borderId="1" xfId="0" applyFont="1" applyFill="1" applyBorder="1"/>
    <xf numFmtId="14" fontId="28" fillId="2" borderId="1" xfId="0" applyNumberFormat="1" applyFont="1" applyFill="1" applyBorder="1"/>
    <xf numFmtId="10" fontId="28" fillId="9" borderId="7" xfId="0" applyNumberFormat="1" applyFont="1" applyFill="1" applyBorder="1"/>
    <xf numFmtId="10" fontId="28" fillId="2" borderId="7" xfId="3" applyNumberFormat="1" applyFont="1" applyFill="1" applyBorder="1"/>
    <xf numFmtId="0" fontId="28" fillId="2" borderId="7" xfId="0" applyFont="1" applyFill="1" applyBorder="1"/>
    <xf numFmtId="0" fontId="28" fillId="2" borderId="2" xfId="0" applyFont="1" applyFill="1" applyBorder="1"/>
    <xf numFmtId="14" fontId="28" fillId="11" borderId="7" xfId="0" applyNumberFormat="1" applyFont="1" applyFill="1" applyBorder="1"/>
    <xf numFmtId="14" fontId="28" fillId="2" borderId="2" xfId="0" applyNumberFormat="1" applyFont="1" applyFill="1" applyBorder="1"/>
    <xf numFmtId="0" fontId="28" fillId="2" borderId="3" xfId="0" applyFont="1" applyFill="1" applyBorder="1"/>
    <xf numFmtId="14" fontId="28" fillId="2" borderId="3" xfId="0" applyNumberFormat="1" applyFont="1" applyFill="1" applyBorder="1"/>
    <xf numFmtId="0" fontId="28" fillId="2" borderId="15" xfId="0" applyFont="1" applyFill="1" applyBorder="1"/>
    <xf numFmtId="14" fontId="28" fillId="2" borderId="8" xfId="0" applyNumberFormat="1" applyFont="1" applyFill="1" applyBorder="1"/>
    <xf numFmtId="10" fontId="28" fillId="9" borderId="6" xfId="0" applyNumberFormat="1" applyFont="1" applyFill="1" applyBorder="1"/>
    <xf numFmtId="14" fontId="28" fillId="2" borderId="12" xfId="0" applyNumberFormat="1" applyFont="1" applyFill="1" applyBorder="1"/>
    <xf numFmtId="0" fontId="28" fillId="2" borderId="14" xfId="0" applyFont="1" applyFill="1" applyBorder="1"/>
    <xf numFmtId="14" fontId="28" fillId="2" borderId="10" xfId="0" applyNumberFormat="1" applyFont="1" applyFill="1" applyBorder="1"/>
    <xf numFmtId="10" fontId="28" fillId="9" borderId="15" xfId="0" applyNumberFormat="1" applyFont="1" applyFill="1" applyBorder="1"/>
    <xf numFmtId="14" fontId="28" fillId="12" borderId="7" xfId="0" applyNumberFormat="1" applyFont="1" applyFill="1" applyBorder="1"/>
    <xf numFmtId="0" fontId="28" fillId="3" borderId="15" xfId="0" applyFont="1" applyFill="1" applyBorder="1"/>
    <xf numFmtId="0" fontId="28" fillId="10" borderId="4" xfId="0" applyFont="1" applyFill="1" applyBorder="1"/>
    <xf numFmtId="0" fontId="28" fillId="4" borderId="8" xfId="0" applyFont="1" applyFill="1" applyBorder="1"/>
    <xf numFmtId="0" fontId="28" fillId="4" borderId="15" xfId="0" applyFont="1" applyFill="1" applyBorder="1"/>
    <xf numFmtId="0" fontId="28" fillId="4" borderId="9" xfId="0" applyFont="1" applyFill="1" applyBorder="1"/>
    <xf numFmtId="0" fontId="28" fillId="11" borderId="4" xfId="0" applyFont="1" applyFill="1" applyBorder="1"/>
    <xf numFmtId="0" fontId="28" fillId="4" borderId="4" xfId="0" applyFont="1" applyFill="1" applyBorder="1"/>
    <xf numFmtId="0" fontId="28" fillId="9" borderId="7" xfId="0" applyFont="1" applyFill="1" applyBorder="1"/>
    <xf numFmtId="0" fontId="28" fillId="12" borderId="7" xfId="0" applyFont="1" applyFill="1" applyBorder="1"/>
    <xf numFmtId="0" fontId="28" fillId="3" borderId="8" xfId="0" applyFont="1" applyFill="1" applyBorder="1"/>
    <xf numFmtId="0" fontId="28" fillId="3" borderId="9" xfId="0" applyFont="1" applyFill="1" applyBorder="1"/>
    <xf numFmtId="0" fontId="28" fillId="3" borderId="10" xfId="0" applyFont="1" applyFill="1" applyBorder="1"/>
    <xf numFmtId="0" fontId="28" fillId="3" borderId="11" xfId="0" applyFont="1" applyFill="1" applyBorder="1"/>
    <xf numFmtId="0" fontId="31" fillId="2" borderId="7" xfId="0" applyFont="1" applyFill="1" applyBorder="1"/>
    <xf numFmtId="2" fontId="31" fillId="2" borderId="4" xfId="0" applyNumberFormat="1" applyFont="1" applyFill="1" applyBorder="1"/>
    <xf numFmtId="0" fontId="28" fillId="2" borderId="6" xfId="0" applyFont="1" applyFill="1" applyBorder="1"/>
    <xf numFmtId="165" fontId="31" fillId="2" borderId="4" xfId="0" applyNumberFormat="1" applyFont="1" applyFill="1" applyBorder="1"/>
    <xf numFmtId="0" fontId="40" fillId="13" borderId="16" xfId="0" applyFont="1" applyFill="1" applyBorder="1"/>
    <xf numFmtId="0" fontId="33" fillId="13" borderId="17" xfId="0" applyFont="1" applyFill="1" applyBorder="1"/>
    <xf numFmtId="0" fontId="33" fillId="13" borderId="18" xfId="0" applyFont="1" applyFill="1" applyBorder="1"/>
    <xf numFmtId="0" fontId="33" fillId="13" borderId="0" xfId="0" applyFont="1" applyFill="1"/>
    <xf numFmtId="0" fontId="33" fillId="13" borderId="19" xfId="0" applyFont="1" applyFill="1" applyBorder="1"/>
    <xf numFmtId="0" fontId="33" fillId="13" borderId="20" xfId="0" applyFont="1" applyFill="1" applyBorder="1"/>
    <xf numFmtId="0" fontId="28" fillId="13" borderId="0" xfId="0" applyFont="1" applyFill="1"/>
    <xf numFmtId="0" fontId="41" fillId="13" borderId="0" xfId="0" applyFont="1" applyFill="1" applyAlignment="1">
      <alignment horizontal="center" wrapText="1"/>
    </xf>
    <xf numFmtId="0" fontId="30" fillId="13" borderId="0" xfId="0" applyFont="1" applyFill="1" applyAlignment="1">
      <alignment horizontal="center"/>
    </xf>
    <xf numFmtId="0" fontId="42" fillId="13" borderId="0" xfId="0" applyFont="1" applyFill="1" applyAlignment="1">
      <alignment horizontal="center"/>
    </xf>
    <xf numFmtId="14" fontId="28" fillId="13" borderId="0" xfId="0" applyNumberFormat="1" applyFont="1" applyFill="1"/>
    <xf numFmtId="14" fontId="31" fillId="13" borderId="0" xfId="0" applyNumberFormat="1" applyFont="1" applyFill="1"/>
    <xf numFmtId="0" fontId="43" fillId="13" borderId="0" xfId="0" applyFont="1" applyFill="1" applyAlignment="1">
      <alignment vertical="center"/>
    </xf>
    <xf numFmtId="0" fontId="43" fillId="13" borderId="0" xfId="0" applyFont="1" applyFill="1" applyAlignment="1">
      <alignment horizontal="center"/>
    </xf>
    <xf numFmtId="0" fontId="43" fillId="13" borderId="20" xfId="0" applyFont="1" applyFill="1" applyBorder="1"/>
    <xf numFmtId="0" fontId="43" fillId="13" borderId="20" xfId="0" applyFont="1" applyFill="1" applyBorder="1" applyAlignment="1">
      <alignment horizontal="center"/>
    </xf>
    <xf numFmtId="164" fontId="44" fillId="13" borderId="17" xfId="1" applyFont="1" applyFill="1" applyBorder="1" applyProtection="1"/>
    <xf numFmtId="164" fontId="43" fillId="13" borderId="17" xfId="1" applyFont="1" applyFill="1" applyBorder="1" applyProtection="1"/>
    <xf numFmtId="0" fontId="45" fillId="13" borderId="21" xfId="0" applyFont="1" applyFill="1" applyBorder="1"/>
    <xf numFmtId="0" fontId="46" fillId="13" borderId="7" xfId="0" applyFont="1" applyFill="1" applyBorder="1"/>
    <xf numFmtId="0" fontId="43" fillId="13" borderId="0" xfId="0" applyFont="1" applyFill="1"/>
    <xf numFmtId="0" fontId="47" fillId="13" borderId="22" xfId="0" applyFont="1" applyFill="1" applyBorder="1"/>
    <xf numFmtId="10" fontId="46" fillId="13" borderId="0" xfId="0" applyNumberFormat="1" applyFont="1" applyFill="1"/>
    <xf numFmtId="10" fontId="43" fillId="13" borderId="0" xfId="0" applyNumberFormat="1" applyFont="1" applyFill="1"/>
    <xf numFmtId="0" fontId="31" fillId="13" borderId="0" xfId="0" applyFont="1" applyFill="1"/>
    <xf numFmtId="0" fontId="47" fillId="13" borderId="23" xfId="0" applyFont="1" applyFill="1" applyBorder="1"/>
    <xf numFmtId="0" fontId="47" fillId="13" borderId="0" xfId="0" applyFont="1" applyFill="1"/>
    <xf numFmtId="164" fontId="46" fillId="13" borderId="17" xfId="1" applyFont="1" applyFill="1" applyBorder="1" applyProtection="1"/>
    <xf numFmtId="0" fontId="47" fillId="13" borderId="21" xfId="0" applyFont="1" applyFill="1" applyBorder="1"/>
    <xf numFmtId="0" fontId="47" fillId="13" borderId="0" xfId="0" applyFont="1" applyFill="1" applyAlignment="1">
      <alignment horizontal="center" wrapText="1"/>
    </xf>
    <xf numFmtId="10" fontId="33" fillId="13" borderId="0" xfId="0" applyNumberFormat="1" applyFont="1" applyFill="1"/>
    <xf numFmtId="0" fontId="44" fillId="13" borderId="0" xfId="0" applyFont="1" applyFill="1"/>
    <xf numFmtId="10" fontId="43" fillId="13" borderId="17" xfId="3" applyNumberFormat="1" applyFont="1" applyFill="1" applyBorder="1" applyAlignment="1" applyProtection="1">
      <alignment horizontal="right"/>
    </xf>
    <xf numFmtId="165" fontId="43" fillId="13" borderId="0" xfId="0" applyNumberFormat="1" applyFont="1" applyFill="1" applyAlignment="1">
      <alignment horizontal="right"/>
    </xf>
    <xf numFmtId="164" fontId="43" fillId="13" borderId="0" xfId="0" applyNumberFormat="1" applyFont="1" applyFill="1"/>
    <xf numFmtId="164" fontId="43" fillId="13" borderId="0" xfId="0" applyNumberFormat="1" applyFont="1" applyFill="1" applyAlignment="1">
      <alignment horizontal="right"/>
    </xf>
    <xf numFmtId="166" fontId="43" fillId="13" borderId="0" xfId="1" applyNumberFormat="1" applyFont="1" applyFill="1" applyBorder="1" applyProtection="1"/>
    <xf numFmtId="166" fontId="43" fillId="13" borderId="0" xfId="1" applyNumberFormat="1" applyFont="1" applyFill="1" applyBorder="1" applyAlignment="1" applyProtection="1">
      <alignment horizontal="right"/>
    </xf>
    <xf numFmtId="0" fontId="48" fillId="13" borderId="0" xfId="0" applyFont="1" applyFill="1" applyAlignment="1">
      <alignment wrapText="1"/>
    </xf>
    <xf numFmtId="0" fontId="49" fillId="13" borderId="0" xfId="0" applyFont="1" applyFill="1" applyAlignment="1">
      <alignment horizontal="right" vertical="center" textRotation="90" wrapText="1"/>
    </xf>
    <xf numFmtId="0" fontId="50" fillId="13" borderId="0" xfId="0" applyFont="1" applyFill="1" applyAlignment="1">
      <alignment horizontal="right" vertical="center" textRotation="90"/>
    </xf>
    <xf numFmtId="0" fontId="33" fillId="13" borderId="0" xfId="0" applyFont="1" applyFill="1" applyAlignment="1">
      <alignment wrapText="1"/>
    </xf>
    <xf numFmtId="10" fontId="33" fillId="13" borderId="0" xfId="3" applyNumberFormat="1" applyFont="1" applyFill="1" applyBorder="1" applyAlignment="1" applyProtection="1"/>
    <xf numFmtId="0" fontId="43" fillId="13" borderId="17" xfId="0" applyFont="1" applyFill="1" applyBorder="1"/>
    <xf numFmtId="0" fontId="31" fillId="13" borderId="0" xfId="0" applyFont="1" applyFill="1" applyAlignment="1">
      <alignment vertical="center"/>
    </xf>
    <xf numFmtId="0" fontId="52" fillId="13" borderId="0" xfId="0" applyFont="1" applyFill="1" applyAlignment="1">
      <alignment wrapText="1"/>
    </xf>
    <xf numFmtId="10" fontId="43" fillId="13" borderId="17" xfId="3" applyNumberFormat="1" applyFont="1" applyFill="1" applyBorder="1" applyProtection="1"/>
    <xf numFmtId="0" fontId="53" fillId="13" borderId="0" xfId="2" applyFont="1" applyFill="1" applyBorder="1" applyAlignment="1" applyProtection="1">
      <alignment horizontal="right"/>
    </xf>
    <xf numFmtId="0" fontId="54" fillId="13" borderId="0" xfId="0" applyFont="1" applyFill="1" applyAlignment="1">
      <alignment horizontal="left"/>
    </xf>
    <xf numFmtId="0" fontId="54" fillId="13" borderId="0" xfId="0" applyFont="1" applyFill="1"/>
    <xf numFmtId="0" fontId="54" fillId="13" borderId="20" xfId="0" applyFont="1" applyFill="1" applyBorder="1"/>
    <xf numFmtId="0" fontId="54" fillId="13" borderId="20" xfId="0" applyFont="1" applyFill="1" applyBorder="1" applyAlignment="1">
      <alignment horizontal="center"/>
    </xf>
    <xf numFmtId="0" fontId="54" fillId="13" borderId="0" xfId="0" applyFont="1" applyFill="1" applyAlignment="1">
      <alignment horizontal="center" wrapText="1"/>
    </xf>
    <xf numFmtId="0" fontId="54" fillId="13" borderId="0" xfId="0" applyFont="1" applyFill="1" applyAlignment="1">
      <alignment horizontal="center"/>
    </xf>
    <xf numFmtId="0" fontId="54" fillId="4" borderId="0" xfId="0" applyFont="1" applyFill="1" applyAlignment="1">
      <alignment horizontal="left"/>
    </xf>
    <xf numFmtId="0" fontId="55" fillId="4" borderId="0" xfId="0" applyFont="1" applyFill="1" applyAlignment="1">
      <alignment horizontal="center"/>
    </xf>
    <xf numFmtId="0" fontId="55" fillId="4" borderId="0" xfId="0" applyFont="1" applyFill="1"/>
    <xf numFmtId="0" fontId="54" fillId="4" borderId="0" xfId="0" applyFont="1" applyFill="1"/>
    <xf numFmtId="14" fontId="55" fillId="4" borderId="0" xfId="0" applyNumberFormat="1" applyFont="1" applyFill="1"/>
    <xf numFmtId="14" fontId="54" fillId="4" borderId="0" xfId="0" applyNumberFormat="1" applyFont="1" applyFill="1"/>
    <xf numFmtId="0" fontId="54" fillId="4" borderId="0" xfId="0" applyFont="1" applyFill="1" applyAlignment="1">
      <alignment vertical="center"/>
    </xf>
    <xf numFmtId="0" fontId="54" fillId="4" borderId="20" xfId="0" applyFont="1" applyFill="1" applyBorder="1"/>
    <xf numFmtId="0" fontId="55" fillId="4" borderId="20" xfId="0" applyFont="1" applyFill="1" applyBorder="1"/>
    <xf numFmtId="0" fontId="54" fillId="4" borderId="20" xfId="0" applyFont="1" applyFill="1" applyBorder="1" applyAlignment="1">
      <alignment horizontal="center"/>
    </xf>
    <xf numFmtId="0" fontId="54" fillId="4" borderId="0" xfId="0" applyFont="1" applyFill="1" applyAlignment="1">
      <alignment horizontal="center" wrapText="1"/>
    </xf>
    <xf numFmtId="0" fontId="56" fillId="4" borderId="16" xfId="0" applyFont="1" applyFill="1" applyBorder="1"/>
    <xf numFmtId="0" fontId="55" fillId="4" borderId="17" xfId="0" applyFont="1" applyFill="1" applyBorder="1"/>
    <xf numFmtId="164" fontId="55" fillId="4" borderId="27" xfId="4" applyFont="1" applyFill="1" applyBorder="1"/>
    <xf numFmtId="164" fontId="55" fillId="4" borderId="17" xfId="1" applyFont="1" applyFill="1" applyBorder="1" applyProtection="1"/>
    <xf numFmtId="164" fontId="54" fillId="4" borderId="17" xfId="1" applyFont="1" applyFill="1" applyBorder="1" applyProtection="1"/>
    <xf numFmtId="0" fontId="54" fillId="4" borderId="21" xfId="0" applyFont="1" applyFill="1" applyBorder="1"/>
    <xf numFmtId="0" fontId="55" fillId="4" borderId="0" xfId="0" applyFont="1" applyFill="1" applyAlignment="1">
      <alignment wrapText="1"/>
    </xf>
    <xf numFmtId="0" fontId="55" fillId="4" borderId="18" xfId="0" applyFont="1" applyFill="1" applyBorder="1"/>
    <xf numFmtId="0" fontId="55" fillId="4" borderId="27" xfId="0" applyFont="1" applyFill="1" applyBorder="1"/>
    <xf numFmtId="0" fontId="55" fillId="4" borderId="29" xfId="0" applyFont="1" applyFill="1" applyBorder="1"/>
    <xf numFmtId="0" fontId="54" fillId="4" borderId="17" xfId="1" applyNumberFormat="1" applyFont="1" applyFill="1" applyBorder="1" applyProtection="1"/>
    <xf numFmtId="0" fontId="54" fillId="4" borderId="22" xfId="0" applyFont="1" applyFill="1" applyBorder="1"/>
    <xf numFmtId="10" fontId="55" fillId="4" borderId="27" xfId="0" applyNumberFormat="1" applyFont="1" applyFill="1" applyBorder="1"/>
    <xf numFmtId="10" fontId="55" fillId="4" borderId="0" xfId="0" applyNumberFormat="1" applyFont="1" applyFill="1"/>
    <xf numFmtId="10" fontId="54" fillId="4" borderId="17" xfId="1" applyNumberFormat="1" applyFont="1" applyFill="1" applyBorder="1" applyProtection="1"/>
    <xf numFmtId="0" fontId="55" fillId="4" borderId="19" xfId="0" applyFont="1" applyFill="1" applyBorder="1"/>
    <xf numFmtId="0" fontId="54" fillId="4" borderId="23" xfId="0" applyFont="1" applyFill="1" applyBorder="1"/>
    <xf numFmtId="0" fontId="54" fillId="4" borderId="0" xfId="0" applyFont="1" applyFill="1" applyAlignment="1">
      <alignment horizontal="center"/>
    </xf>
    <xf numFmtId="10" fontId="55" fillId="4" borderId="0" xfId="3" applyNumberFormat="1" applyFont="1" applyFill="1" applyBorder="1" applyAlignment="1" applyProtection="1"/>
    <xf numFmtId="0" fontId="54" fillId="4" borderId="17" xfId="0" applyFont="1" applyFill="1" applyBorder="1"/>
    <xf numFmtId="10" fontId="54" fillId="4" borderId="17" xfId="3" applyNumberFormat="1" applyFont="1" applyFill="1" applyBorder="1" applyProtection="1"/>
    <xf numFmtId="165" fontId="54" fillId="4" borderId="0" xfId="0" applyNumberFormat="1" applyFont="1" applyFill="1" applyAlignment="1">
      <alignment horizontal="right"/>
    </xf>
    <xf numFmtId="164" fontId="54" fillId="4" borderId="0" xfId="0" applyNumberFormat="1" applyFont="1" applyFill="1"/>
    <xf numFmtId="164" fontId="54" fillId="4" borderId="0" xfId="0" applyNumberFormat="1" applyFont="1" applyFill="1" applyAlignment="1">
      <alignment horizontal="right"/>
    </xf>
    <xf numFmtId="166" fontId="54" fillId="4" borderId="0" xfId="1" applyNumberFormat="1" applyFont="1" applyFill="1" applyBorder="1" applyProtection="1"/>
    <xf numFmtId="166" fontId="54" fillId="4" borderId="0" xfId="1" applyNumberFormat="1" applyFont="1" applyFill="1" applyBorder="1" applyAlignment="1" applyProtection="1">
      <alignment horizontal="right"/>
    </xf>
    <xf numFmtId="0" fontId="57" fillId="4" borderId="0" xfId="0" applyFont="1" applyFill="1" applyAlignment="1">
      <alignment wrapText="1"/>
    </xf>
    <xf numFmtId="0" fontId="47" fillId="13" borderId="0" xfId="0" applyFont="1" applyFill="1" applyAlignment="1">
      <alignment horizontal="center" vertical="center" wrapText="1"/>
    </xf>
    <xf numFmtId="0" fontId="31" fillId="13" borderId="0" xfId="0" applyFont="1" applyFill="1" applyAlignment="1">
      <alignment horizontal="center"/>
    </xf>
    <xf numFmtId="10" fontId="59" fillId="2" borderId="1" xfId="0" applyNumberFormat="1" applyFont="1" applyFill="1" applyBorder="1"/>
    <xf numFmtId="0" fontId="28" fillId="2" borderId="1" xfId="0" applyFont="1" applyFill="1" applyBorder="1" applyAlignment="1">
      <alignment horizontal="right" vertical="top"/>
    </xf>
    <xf numFmtId="0" fontId="28" fillId="2" borderId="2" xfId="0" applyFont="1" applyFill="1" applyBorder="1" applyAlignment="1">
      <alignment horizontal="right" vertical="top"/>
    </xf>
    <xf numFmtId="0" fontId="47" fillId="13" borderId="0" xfId="0" applyFont="1" applyFill="1" applyAlignment="1">
      <alignment horizontal="center" vertical="center" wrapText="1"/>
    </xf>
    <xf numFmtId="0" fontId="28" fillId="13" borderId="0" xfId="0" applyFont="1" applyFill="1" applyAlignment="1">
      <alignment horizontal="center" vertical="center" wrapText="1"/>
    </xf>
    <xf numFmtId="10" fontId="31" fillId="13" borderId="1" xfId="0" applyNumberFormat="1" applyFont="1" applyFill="1" applyBorder="1" applyAlignment="1">
      <alignment horizontal="center" vertical="center" wrapText="1"/>
    </xf>
    <xf numFmtId="10" fontId="51" fillId="13" borderId="1" xfId="0" applyNumberFormat="1" applyFont="1" applyFill="1" applyBorder="1" applyAlignment="1">
      <alignment horizontal="center" vertical="center"/>
    </xf>
    <xf numFmtId="0" fontId="51" fillId="13" borderId="3" xfId="0" applyFont="1" applyFill="1" applyBorder="1" applyAlignment="1">
      <alignment horizontal="center" vertical="center"/>
    </xf>
    <xf numFmtId="10" fontId="47" fillId="13" borderId="0" xfId="0" applyNumberFormat="1" applyFont="1" applyFill="1" applyAlignment="1">
      <alignment horizontal="center" wrapText="1"/>
    </xf>
    <xf numFmtId="0" fontId="31" fillId="13" borderId="0" xfId="0" applyFont="1" applyFill="1" applyAlignment="1">
      <alignment horizontal="center"/>
    </xf>
    <xf numFmtId="164" fontId="31" fillId="13" borderId="1" xfId="0" applyNumberFormat="1" applyFont="1" applyFill="1" applyBorder="1" applyAlignment="1">
      <alignment horizontal="center" vertical="center"/>
    </xf>
    <xf numFmtId="0" fontId="31" fillId="13" borderId="3" xfId="0" applyFont="1" applyFill="1" applyBorder="1" applyAlignment="1">
      <alignment horizontal="center" vertical="center"/>
    </xf>
    <xf numFmtId="0" fontId="34" fillId="7" borderId="10" xfId="0" applyFont="1" applyFill="1" applyBorder="1" applyAlignment="1">
      <alignment wrapText="1"/>
    </xf>
    <xf numFmtId="0" fontId="34" fillId="7" borderId="14" xfId="0" applyFont="1" applyFill="1" applyBorder="1" applyAlignment="1">
      <alignment wrapText="1"/>
    </xf>
    <xf numFmtId="0" fontId="34" fillId="7" borderId="11" xfId="0" applyFont="1" applyFill="1" applyBorder="1" applyAlignment="1">
      <alignment wrapText="1"/>
    </xf>
    <xf numFmtId="0" fontId="34" fillId="3" borderId="4" xfId="0" applyFont="1" applyFill="1" applyBorder="1" applyAlignment="1">
      <alignment horizontal="center" wrapText="1"/>
    </xf>
    <xf numFmtId="0" fontId="34" fillId="3" borderId="6" xfId="0" applyFont="1" applyFill="1" applyBorder="1" applyAlignment="1">
      <alignment horizontal="center" wrapText="1"/>
    </xf>
    <xf numFmtId="0" fontId="31" fillId="3" borderId="4" xfId="0" applyFont="1" applyFill="1" applyBorder="1" applyAlignment="1">
      <alignment horizontal="center"/>
    </xf>
    <xf numFmtId="0" fontId="31" fillId="3" borderId="5" xfId="0" applyFont="1" applyFill="1" applyBorder="1" applyAlignment="1">
      <alignment horizontal="center"/>
    </xf>
    <xf numFmtId="0" fontId="31" fillId="3" borderId="6" xfId="0" applyFont="1" applyFill="1" applyBorder="1" applyAlignment="1">
      <alignment horizontal="center"/>
    </xf>
    <xf numFmtId="0" fontId="28" fillId="4" borderId="4" xfId="0" applyFont="1" applyFill="1" applyBorder="1" applyAlignment="1" applyProtection="1">
      <alignment horizontal="left"/>
      <protection locked="0"/>
    </xf>
    <xf numFmtId="0" fontId="28" fillId="4" borderId="5" xfId="0" applyFont="1" applyFill="1" applyBorder="1" applyAlignment="1" applyProtection="1">
      <alignment horizontal="left"/>
      <protection locked="0"/>
    </xf>
    <xf numFmtId="0" fontId="28" fillId="4" borderId="6" xfId="0" applyFont="1" applyFill="1" applyBorder="1" applyAlignment="1" applyProtection="1">
      <alignment horizontal="left"/>
      <protection locked="0"/>
    </xf>
    <xf numFmtId="165" fontId="31" fillId="13" borderId="1" xfId="0" applyNumberFormat="1" applyFont="1" applyFill="1" applyBorder="1" applyAlignment="1">
      <alignment horizontal="center" vertical="center"/>
    </xf>
    <xf numFmtId="10" fontId="58" fillId="14" borderId="1" xfId="0" applyNumberFormat="1" applyFont="1" applyFill="1" applyBorder="1" applyAlignment="1">
      <alignment horizontal="center" vertical="center" wrapText="1"/>
    </xf>
    <xf numFmtId="10" fontId="58" fillId="14" borderId="3" xfId="0" applyNumberFormat="1" applyFont="1" applyFill="1" applyBorder="1" applyAlignment="1">
      <alignment horizontal="center" vertical="center" wrapText="1"/>
    </xf>
    <xf numFmtId="0" fontId="31" fillId="3" borderId="4" xfId="0" applyFont="1" applyFill="1" applyBorder="1" applyAlignment="1">
      <alignment horizontal="center" vertical="top"/>
    </xf>
    <xf numFmtId="0" fontId="31" fillId="3" borderId="6" xfId="0" applyFont="1" applyFill="1" applyBorder="1" applyAlignment="1">
      <alignment horizontal="center" vertical="top"/>
    </xf>
    <xf numFmtId="10" fontId="54" fillId="4" borderId="28" xfId="0" applyNumberFormat="1" applyFont="1" applyFill="1" applyBorder="1" applyAlignment="1">
      <alignment horizontal="center" vertical="center" wrapText="1"/>
    </xf>
    <xf numFmtId="10" fontId="54" fillId="4" borderId="30" xfId="0" applyNumberFormat="1" applyFont="1" applyFill="1" applyBorder="1" applyAlignment="1">
      <alignment horizontal="center" vertical="center" wrapText="1"/>
    </xf>
    <xf numFmtId="0" fontId="23" fillId="4" borderId="0" xfId="0" applyFont="1" applyFill="1" applyAlignment="1">
      <alignment horizontal="center" wrapText="1"/>
    </xf>
    <xf numFmtId="0" fontId="55" fillId="4" borderId="24" xfId="0" applyFont="1" applyFill="1" applyBorder="1" applyAlignment="1" applyProtection="1">
      <alignment horizontal="left"/>
      <protection locked="0"/>
    </xf>
    <xf numFmtId="0" fontId="55" fillId="4" borderId="25" xfId="0" applyFont="1" applyFill="1" applyBorder="1" applyAlignment="1" applyProtection="1">
      <alignment horizontal="left"/>
      <protection locked="0"/>
    </xf>
    <xf numFmtId="0" fontId="55" fillId="4" borderId="26" xfId="0" applyFont="1" applyFill="1" applyBorder="1" applyAlignment="1" applyProtection="1">
      <alignment horizontal="left"/>
      <protection locked="0"/>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20" fillId="3" borderId="6" xfId="0" applyFont="1" applyFill="1" applyBorder="1" applyAlignment="1">
      <alignment horizontal="center" wrapText="1"/>
    </xf>
    <xf numFmtId="0" fontId="10" fillId="7" borderId="10" xfId="0" applyFont="1" applyFill="1" applyBorder="1" applyAlignment="1">
      <alignment wrapText="1"/>
    </xf>
    <xf numFmtId="165" fontId="54" fillId="4" borderId="28" xfId="0" applyNumberFormat="1" applyFont="1" applyFill="1" applyBorder="1" applyAlignment="1">
      <alignment horizontal="center" vertical="center"/>
    </xf>
    <xf numFmtId="165" fontId="54" fillId="4" borderId="30" xfId="0" applyNumberFormat="1" applyFont="1" applyFill="1" applyBorder="1" applyAlignment="1">
      <alignment horizontal="center" vertical="center"/>
    </xf>
    <xf numFmtId="164" fontId="54" fillId="4" borderId="28" xfId="0" applyNumberFormat="1" applyFont="1" applyFill="1" applyBorder="1" applyAlignment="1">
      <alignment horizontal="center" vertical="center"/>
    </xf>
    <xf numFmtId="164" fontId="54" fillId="4" borderId="30" xfId="0" applyNumberFormat="1" applyFont="1" applyFill="1" applyBorder="1" applyAlignment="1">
      <alignment horizontal="center" vertical="center"/>
    </xf>
    <xf numFmtId="10" fontId="54" fillId="4" borderId="31" xfId="0" applyNumberFormat="1" applyFont="1" applyFill="1" applyBorder="1" applyAlignment="1">
      <alignment horizontal="center" vertical="center" wrapText="1"/>
    </xf>
    <xf numFmtId="10" fontId="54" fillId="4" borderId="0" xfId="0" applyNumberFormat="1" applyFont="1" applyFill="1" applyAlignment="1">
      <alignment horizontal="center" vertical="center" wrapText="1"/>
    </xf>
    <xf numFmtId="10" fontId="54" fillId="4" borderId="28" xfId="0" applyNumberFormat="1" applyFont="1" applyFill="1" applyBorder="1" applyAlignment="1">
      <alignment horizontal="center" vertical="center"/>
    </xf>
    <xf numFmtId="10" fontId="54" fillId="4" borderId="30" xfId="0" applyNumberFormat="1" applyFont="1" applyFill="1" applyBorder="1" applyAlignment="1">
      <alignment horizontal="center" vertical="center"/>
    </xf>
    <xf numFmtId="0" fontId="3" fillId="3" borderId="4" xfId="0" applyFont="1" applyFill="1" applyBorder="1" applyAlignment="1">
      <alignment horizontal="center" vertical="top"/>
    </xf>
    <xf numFmtId="0" fontId="3" fillId="0" borderId="6" xfId="0" applyFont="1" applyBorder="1" applyAlignment="1">
      <alignment horizontal="center" vertical="top"/>
    </xf>
    <xf numFmtId="0" fontId="54" fillId="4" borderId="0" xfId="0" applyFont="1" applyFill="1" applyAlignment="1">
      <alignment horizontal="center"/>
    </xf>
    <xf numFmtId="0" fontId="26" fillId="4" borderId="0" xfId="0" applyFont="1" applyFill="1" applyAlignment="1">
      <alignment horizontal="center" vertical="center" wrapText="1"/>
    </xf>
    <xf numFmtId="0" fontId="28" fillId="7" borderId="8" xfId="0" applyFont="1" applyFill="1" applyBorder="1" applyAlignment="1"/>
    <xf numFmtId="0" fontId="28" fillId="7" borderId="15" xfId="0" applyFont="1" applyFill="1" applyBorder="1" applyAlignment="1"/>
    <xf numFmtId="0" fontId="28" fillId="7" borderId="9" xfId="0" applyFont="1" applyFill="1" applyBorder="1" applyAlignment="1"/>
    <xf numFmtId="0" fontId="32" fillId="2" borderId="12" xfId="0" applyFont="1" applyFill="1" applyBorder="1" applyAlignment="1"/>
    <xf numFmtId="0" fontId="32" fillId="2" borderId="0" xfId="0" applyFont="1" applyFill="1" applyAlignment="1"/>
    <xf numFmtId="0" fontId="32" fillId="2" borderId="13" xfId="0" applyFont="1" applyFill="1" applyBorder="1" applyAlignment="1"/>
    <xf numFmtId="0" fontId="32" fillId="7" borderId="10" xfId="0" applyFont="1" applyFill="1" applyBorder="1" applyAlignment="1"/>
    <xf numFmtId="0" fontId="32" fillId="7" borderId="14" xfId="0" applyFont="1" applyFill="1" applyBorder="1" applyAlignment="1"/>
    <xf numFmtId="0" fontId="32" fillId="7" borderId="11" xfId="0" applyFont="1" applyFill="1" applyBorder="1" applyAlignment="1"/>
    <xf numFmtId="0" fontId="32" fillId="7" borderId="12" xfId="0" applyFont="1" applyFill="1" applyBorder="1" applyAlignment="1"/>
    <xf numFmtId="0" fontId="32" fillId="7" borderId="0" xfId="0" applyFont="1" applyFill="1" applyAlignment="1"/>
    <xf numFmtId="0" fontId="32" fillId="7" borderId="13" xfId="0" applyFont="1" applyFill="1" applyBorder="1" applyAlignment="1"/>
    <xf numFmtId="0" fontId="28" fillId="7" borderId="12" xfId="0" applyFont="1" applyFill="1" applyBorder="1" applyAlignment="1"/>
    <xf numFmtId="0" fontId="28" fillId="7" borderId="0" xfId="0" applyFont="1" applyFill="1" applyAlignment="1"/>
    <xf numFmtId="0" fontId="28" fillId="7" borderId="13" xfId="0" applyFont="1" applyFill="1" applyBorder="1" applyAlignment="1"/>
    <xf numFmtId="0" fontId="31" fillId="13" borderId="3" xfId="0" applyFont="1" applyFill="1" applyBorder="1" applyAlignment="1"/>
    <xf numFmtId="0" fontId="28" fillId="13" borderId="0" xfId="0" applyFont="1" applyFill="1" applyAlignment="1"/>
    <xf numFmtId="0" fontId="28" fillId="7" borderId="4" xfId="0" applyFont="1" applyFill="1" applyBorder="1" applyAlignment="1"/>
    <xf numFmtId="0" fontId="28" fillId="7" borderId="5" xfId="0" applyFont="1" applyFill="1" applyBorder="1" applyAlignment="1"/>
    <xf numFmtId="0" fontId="28" fillId="7" borderId="6" xfId="0" applyFont="1" applyFill="1" applyBorder="1" applyAlignment="1"/>
    <xf numFmtId="0" fontId="28" fillId="4" borderId="4" xfId="0" applyFont="1" applyFill="1" applyBorder="1" applyAlignment="1"/>
    <xf numFmtId="0" fontId="28" fillId="4" borderId="5" xfId="0" applyFont="1" applyFill="1" applyBorder="1" applyAlignment="1"/>
    <xf numFmtId="0" fontId="28" fillId="4" borderId="6" xfId="0" applyFont="1" applyFill="1" applyBorder="1" applyAlignment="1"/>
    <xf numFmtId="0" fontId="0" fillId="7" borderId="8" xfId="0" applyFill="1" applyBorder="1" applyAlignment="1"/>
    <xf numFmtId="0" fontId="0" fillId="7" borderId="15" xfId="0" applyFill="1" applyBorder="1" applyAlignment="1"/>
    <xf numFmtId="0" fontId="0" fillId="7" borderId="9" xfId="0" applyFill="1" applyBorder="1" applyAlignment="1"/>
    <xf numFmtId="0" fontId="9" fillId="2" borderId="12" xfId="0" applyFont="1" applyFill="1" applyBorder="1" applyAlignment="1"/>
    <xf numFmtId="0" fontId="0" fillId="2" borderId="0" xfId="0" applyFill="1" applyAlignment="1"/>
    <xf numFmtId="0" fontId="0" fillId="2" borderId="13" xfId="0" applyFill="1" applyBorder="1" applyAlignment="1"/>
    <xf numFmtId="0" fontId="9" fillId="7" borderId="10" xfId="0" applyFont="1" applyFill="1" applyBorder="1" applyAlignment="1"/>
    <xf numFmtId="0" fontId="0" fillId="7" borderId="14" xfId="0" applyFill="1" applyBorder="1" applyAlignment="1"/>
    <xf numFmtId="0" fontId="0" fillId="7" borderId="11" xfId="0" applyFill="1" applyBorder="1" applyAlignment="1"/>
    <xf numFmtId="0" fontId="10" fillId="3" borderId="4" xfId="0" applyFont="1" applyFill="1" applyBorder="1" applyAlignment="1">
      <alignment horizontal="center" wrapText="1"/>
    </xf>
    <xf numFmtId="0" fontId="9" fillId="7" borderId="12" xfId="0" applyFont="1" applyFill="1" applyBorder="1" applyAlignment="1"/>
    <xf numFmtId="0" fontId="0" fillId="7" borderId="0" xfId="0" applyFill="1" applyAlignment="1"/>
    <xf numFmtId="0" fontId="0" fillId="7" borderId="13" xfId="0" applyFill="1" applyBorder="1" applyAlignment="1"/>
    <xf numFmtId="0" fontId="0" fillId="7" borderId="12" xfId="0" applyFill="1" applyBorder="1" applyAlignment="1"/>
    <xf numFmtId="0" fontId="9" fillId="7" borderId="14" xfId="0" applyFont="1" applyFill="1" applyBorder="1" applyAlignment="1"/>
    <xf numFmtId="0" fontId="9" fillId="7" borderId="11" xfId="0" applyFont="1" applyFill="1" applyBorder="1" applyAlignment="1"/>
    <xf numFmtId="0" fontId="0" fillId="4" borderId="0" xfId="0" applyFill="1" applyAlignment="1"/>
    <xf numFmtId="0" fontId="0" fillId="7" borderId="4" xfId="0" applyFill="1" applyBorder="1" applyAlignment="1"/>
    <xf numFmtId="0" fontId="0" fillId="7" borderId="5" xfId="0" applyFill="1" applyBorder="1" applyAlignment="1"/>
    <xf numFmtId="0" fontId="0" fillId="7" borderId="6" xfId="0" applyFill="1" applyBorder="1" applyAlignment="1"/>
  </cellXfs>
  <cellStyles count="5">
    <cellStyle name="Euro" xfId="1" xr:uid="{00000000-0005-0000-0000-000001000000}"/>
    <cellStyle name="Hyperlink" xfId="2" builtinId="8"/>
    <cellStyle name="Procent" xfId="3" builtinId="5"/>
    <cellStyle name="Standaard" xfId="0" builtinId="0"/>
    <cellStyle name="Valuta" xfId="4" builtinId="4"/>
  </cellStyles>
  <dxfs count="68">
    <dxf>
      <font>
        <condense val="0"/>
        <extend val="0"/>
        <color indexed="22"/>
      </font>
      <fill>
        <patternFill>
          <bgColor indexed="22"/>
        </patternFill>
      </fill>
      <border>
        <left/>
        <right/>
        <top/>
        <bottom/>
      </border>
    </dxf>
    <dxf>
      <font>
        <condense val="0"/>
        <extend val="0"/>
        <color indexed="9"/>
      </font>
    </dxf>
    <dxf>
      <font>
        <b/>
        <i val="0"/>
        <condense val="0"/>
        <extend val="0"/>
        <color indexed="16"/>
      </font>
      <fill>
        <patternFill>
          <bgColor indexed="9"/>
        </patternFill>
      </fill>
      <border>
        <left style="thin">
          <color indexed="8"/>
        </left>
        <right style="thin">
          <color indexed="8"/>
        </right>
        <top style="thin">
          <color indexed="8"/>
        </top>
        <bottom style="thin">
          <color indexed="8"/>
        </bottom>
      </border>
    </dxf>
    <dxf>
      <font>
        <condense val="0"/>
        <extend val="0"/>
        <color indexed="8"/>
      </font>
      <fill>
        <patternFill>
          <bgColor indexed="9"/>
        </patternFill>
      </fill>
    </dxf>
    <dxf>
      <font>
        <b/>
        <i val="0"/>
        <condense val="0"/>
        <extend val="0"/>
        <color indexed="8"/>
      </font>
      <fill>
        <patternFill>
          <bgColor indexed="9"/>
        </patternFill>
      </fill>
    </dxf>
    <dxf>
      <font>
        <condense val="0"/>
        <extend val="0"/>
        <color indexed="16"/>
      </font>
      <fill>
        <patternFill>
          <bgColor indexed="9"/>
        </patternFill>
      </fill>
      <border>
        <left style="thin">
          <color indexed="8"/>
        </left>
        <right style="thin">
          <color indexed="8"/>
        </right>
        <top style="thin">
          <color indexed="8"/>
        </top>
        <bottom style="thin">
          <color indexed="8"/>
        </bottom>
      </border>
    </dxf>
    <dxf>
      <font>
        <condense val="0"/>
        <extend val="0"/>
        <color indexed="9"/>
      </font>
    </dxf>
    <dxf>
      <font>
        <condense val="0"/>
        <extend val="0"/>
        <color indexed="9"/>
      </font>
    </dxf>
    <dxf>
      <font>
        <condense val="0"/>
        <extend val="0"/>
        <color indexed="9"/>
      </font>
      <fill>
        <patternFill>
          <bgColor indexed="9"/>
        </patternFill>
      </fill>
    </dxf>
    <dxf>
      <font>
        <b/>
        <i val="0"/>
        <condense val="0"/>
        <extend val="0"/>
        <color indexed="8"/>
      </font>
      <fill>
        <patternFill>
          <bgColor indexed="9"/>
        </patternFill>
      </fill>
      <border>
        <left style="thin">
          <color indexed="8"/>
        </left>
        <right style="thin">
          <color indexed="8"/>
        </right>
        <top style="thin">
          <color indexed="8"/>
        </top>
        <bottom style="thin">
          <color indexed="8"/>
        </bottom>
      </border>
    </dxf>
    <dxf>
      <font>
        <b/>
        <i val="0"/>
        <condense val="0"/>
        <extend val="0"/>
        <color indexed="8"/>
      </font>
      <fill>
        <patternFill>
          <bgColor indexed="9"/>
        </patternFill>
      </fill>
      <border>
        <left style="thin">
          <color indexed="8"/>
        </left>
        <right style="thin">
          <color indexed="8"/>
        </right>
        <top style="thin">
          <color indexed="8"/>
        </top>
        <bottom style="thin">
          <color indexed="8"/>
        </bottom>
      </border>
    </dxf>
    <dxf>
      <fill>
        <patternFill>
          <bgColor indexed="8"/>
        </patternFill>
      </fill>
    </dxf>
    <dxf>
      <fill>
        <patternFill>
          <bgColor indexed="44"/>
        </patternFill>
      </fill>
    </dxf>
    <dxf>
      <font>
        <condense val="0"/>
        <extend val="0"/>
        <color indexed="8"/>
      </font>
      <fill>
        <patternFill>
          <bgColor indexed="9"/>
        </patternFill>
      </fill>
      <border>
        <left style="thin">
          <color indexed="8"/>
        </left>
        <right style="thin">
          <color indexed="8"/>
        </right>
        <top style="thin">
          <color indexed="8"/>
        </top>
        <bottom style="thin">
          <color indexed="8"/>
        </bottom>
      </border>
    </dxf>
    <dxf>
      <font>
        <condense val="0"/>
        <extend val="0"/>
        <color indexed="8"/>
      </font>
      <fill>
        <patternFill>
          <bgColor indexed="22"/>
        </patternFill>
      </fill>
      <border>
        <left style="thin">
          <color indexed="8"/>
        </left>
        <right style="thin">
          <color indexed="8"/>
        </right>
        <top style="thin">
          <color indexed="8"/>
        </top>
        <bottom style="thin">
          <color indexed="8"/>
        </bottom>
      </border>
    </dxf>
    <dxf>
      <font>
        <condense val="0"/>
        <extend val="0"/>
        <color indexed="22"/>
      </font>
      <fill>
        <patternFill>
          <bgColor indexed="22"/>
        </patternFill>
      </fill>
      <border>
        <left/>
        <right/>
        <top/>
        <bottom/>
      </border>
    </dxf>
    <dxf>
      <font>
        <b/>
        <i val="0"/>
        <condense val="0"/>
        <extend val="0"/>
        <color indexed="9"/>
      </font>
      <fill>
        <patternFill>
          <bgColor indexed="8"/>
        </patternFill>
      </fill>
      <border>
        <left style="thin">
          <color indexed="8"/>
        </left>
        <right style="thin">
          <color indexed="8"/>
        </right>
        <top style="thin">
          <color indexed="8"/>
        </top>
        <bottom style="thin">
          <color indexed="8"/>
        </bottom>
      </border>
    </dxf>
    <dxf>
      <font>
        <condense val="0"/>
        <extend val="0"/>
        <color indexed="9"/>
      </font>
      <fill>
        <patternFill>
          <bgColor indexed="8"/>
        </patternFill>
      </fill>
    </dxf>
    <dxf>
      <fill>
        <patternFill>
          <bgColor indexed="44"/>
        </patternFill>
      </fill>
    </dxf>
    <dxf>
      <font>
        <condense val="0"/>
        <extend val="0"/>
        <color indexed="22"/>
      </font>
    </dxf>
    <dxf>
      <font>
        <condense val="0"/>
        <extend val="0"/>
        <color indexed="22"/>
      </font>
    </dxf>
    <dxf>
      <font>
        <condense val="0"/>
        <extend val="0"/>
        <color indexed="9"/>
      </font>
      <fill>
        <patternFill>
          <bgColor indexed="16"/>
        </patternFill>
      </fill>
      <border>
        <left style="thin">
          <color indexed="16"/>
        </left>
        <right style="thin">
          <color indexed="16"/>
        </right>
        <top style="thin">
          <color indexed="9"/>
        </top>
        <bottom style="thin">
          <color indexed="16"/>
        </bottom>
      </border>
    </dxf>
    <dxf>
      <font>
        <condense val="0"/>
        <extend val="0"/>
        <color indexed="9"/>
      </font>
      <fill>
        <patternFill>
          <bgColor indexed="16"/>
        </patternFill>
      </fill>
      <border>
        <left style="thin">
          <color indexed="16"/>
        </left>
        <right style="thin">
          <color indexed="16"/>
        </right>
        <top style="thin">
          <color indexed="16"/>
        </top>
        <bottom style="thin">
          <color indexed="9"/>
        </bottom>
      </border>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numFmt numFmtId="167" formatCode="0.000%"/>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ont>
        <b/>
        <i val="0"/>
        <condense val="0"/>
        <extend val="0"/>
        <color indexed="8"/>
      </font>
      <fill>
        <patternFill>
          <bgColor indexed="22"/>
        </patternFill>
      </fill>
    </dxf>
    <dxf>
      <fill>
        <patternFill>
          <bgColor indexed="8"/>
        </patternFill>
      </fill>
    </dxf>
    <dxf>
      <fill>
        <patternFill>
          <bgColor indexed="44"/>
        </patternFill>
      </fill>
    </dxf>
    <dxf>
      <font>
        <condense val="0"/>
        <extend val="0"/>
        <color indexed="8"/>
        <family val="1"/>
      </font>
      <fill>
        <patternFill>
          <bgColor indexed="9"/>
        </patternFill>
      </fill>
      <border>
        <left style="thin">
          <color indexed="8"/>
        </left>
        <right style="thin">
          <color indexed="8"/>
        </right>
        <top style="thin">
          <color indexed="8"/>
        </top>
        <bottom style="thin">
          <color indexed="8"/>
        </bottom>
      </border>
    </dxf>
    <dxf>
      <font>
        <condense val="0"/>
        <extend val="0"/>
        <color indexed="8"/>
        <family val="1"/>
      </font>
      <fill>
        <patternFill>
          <bgColor indexed="22"/>
        </patternFill>
      </fill>
      <border>
        <left style="thin">
          <color indexed="8"/>
        </left>
        <right style="thin">
          <color indexed="8"/>
        </right>
        <top style="thin">
          <color indexed="8"/>
        </top>
        <bottom style="thin">
          <color indexed="8"/>
        </bottom>
      </border>
    </dxf>
    <dxf>
      <font>
        <color rgb="FFEFF3F6"/>
        <name val="Cambria"/>
        <family val="1"/>
        <scheme val="none"/>
      </font>
      <fill>
        <patternFill>
          <bgColor rgb="FFEFF2F7"/>
        </patternFill>
      </fill>
      <border>
        <left/>
        <right/>
        <top/>
        <bottom/>
      </border>
    </dxf>
    <dxf>
      <font>
        <b/>
        <i val="0"/>
        <condense val="0"/>
        <extend val="0"/>
        <color indexed="9"/>
      </font>
      <fill>
        <patternFill>
          <bgColor indexed="8"/>
        </patternFill>
      </fill>
      <border>
        <left style="thin">
          <color indexed="8"/>
        </left>
        <right style="thin">
          <color indexed="8"/>
        </right>
        <top style="thin">
          <color indexed="8"/>
        </top>
        <bottom style="thin">
          <color indexed="8"/>
        </bottom>
      </border>
    </dxf>
    <dxf>
      <font>
        <condense val="0"/>
        <extend val="0"/>
        <color indexed="9"/>
      </font>
      <fill>
        <patternFill>
          <bgColor indexed="8"/>
        </patternFill>
      </fill>
      <border>
        <left style="thin">
          <color indexed="8"/>
        </left>
        <right style="thin">
          <color indexed="8"/>
        </right>
        <top style="thin">
          <color indexed="8"/>
        </top>
        <bottom style="thin">
          <color indexed="8"/>
        </bottom>
      </border>
    </dxf>
    <dxf>
      <font>
        <condense val="0"/>
        <extend val="0"/>
        <color indexed="22"/>
      </font>
    </dxf>
    <dxf>
      <font>
        <condense val="0"/>
        <extend val="0"/>
        <color indexed="9"/>
      </font>
      <fill>
        <patternFill>
          <bgColor indexed="8"/>
        </patternFill>
      </fill>
      <border>
        <left style="thin">
          <color indexed="8"/>
        </left>
        <right style="thin">
          <color indexed="8"/>
        </right>
        <top style="thin">
          <color indexed="8"/>
        </top>
        <bottom style="thin">
          <color indexed="8"/>
        </bottom>
      </border>
    </dxf>
    <dxf>
      <font>
        <condense val="0"/>
        <extend val="0"/>
        <color indexed="16"/>
      </font>
      <fill>
        <patternFill>
          <bgColor indexed="8"/>
        </patternFill>
      </fill>
      <border>
        <left style="thin">
          <color indexed="8"/>
        </left>
        <right style="thin">
          <color indexed="8"/>
        </right>
        <top style="thin">
          <color indexed="8"/>
        </top>
        <bottom style="thin">
          <color indexed="8"/>
        </bottom>
      </border>
    </dxf>
    <dxf>
      <font>
        <b/>
        <i val="0"/>
        <color rgb="FF243657"/>
        <name val="Cambria"/>
        <family val="1"/>
        <scheme val="none"/>
      </font>
      <fill>
        <patternFill>
          <bgColor rgb="FFEFF2F7"/>
        </patternFill>
      </fill>
      <border>
        <left style="thin">
          <color indexed="8"/>
        </left>
        <right style="thin">
          <color indexed="8"/>
        </right>
        <top style="thin">
          <color indexed="8"/>
        </top>
        <bottom style="thin">
          <color indexed="8"/>
        </bottom>
      </border>
    </dxf>
    <dxf>
      <font>
        <b/>
        <i val="0"/>
        <color rgb="FF243657"/>
        <name val="Cambria"/>
        <family val="1"/>
        <scheme val="none"/>
      </font>
      <fill>
        <patternFill>
          <bgColor rgb="FFEFF2F7"/>
        </patternFill>
      </fill>
      <border>
        <left style="thin">
          <color indexed="8"/>
        </left>
        <right style="thin">
          <color indexed="8"/>
        </right>
        <top style="thin">
          <color indexed="8"/>
        </top>
        <bottom style="thin">
          <color indexed="8"/>
        </bottom>
      </border>
    </dxf>
    <dxf>
      <font>
        <condense val="0"/>
        <extend val="0"/>
        <color indexed="9"/>
      </font>
      <fill>
        <patternFill>
          <bgColor indexed="8"/>
        </patternFill>
      </fill>
    </dxf>
    <dxf>
      <fill>
        <patternFill>
          <bgColor indexed="44"/>
        </patternFill>
      </fill>
    </dxf>
    <dxf>
      <font>
        <color rgb="FF243657"/>
        <name val="Cambria"/>
        <family val="1"/>
        <scheme val="none"/>
      </font>
      <fill>
        <patternFill>
          <bgColor rgb="FFEFF3F6"/>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numFmt numFmtId="167" formatCode="0.000%"/>
    </dxf>
    <dxf>
      <font>
        <condense val="0"/>
        <extend val="0"/>
        <color indexed="22"/>
      </font>
    </dxf>
    <dxf>
      <font>
        <condense val="0"/>
        <extend val="0"/>
        <color indexed="9"/>
      </font>
      <fill>
        <patternFill>
          <bgColor indexed="16"/>
        </patternFill>
      </fill>
      <border>
        <left style="thin">
          <color indexed="16"/>
        </left>
        <right style="thin">
          <color indexed="16"/>
        </right>
        <top style="thin">
          <color indexed="9"/>
        </top>
        <bottom style="thin">
          <color indexed="16"/>
        </bottom>
      </border>
    </dxf>
    <dxf>
      <font>
        <condense val="0"/>
        <extend val="0"/>
        <color indexed="9"/>
      </font>
      <fill>
        <patternFill>
          <bgColor indexed="16"/>
        </patternFill>
      </fill>
      <border>
        <left style="thin">
          <color indexed="16"/>
        </left>
        <right style="thin">
          <color indexed="16"/>
        </right>
        <top style="thin">
          <color indexed="16"/>
        </top>
        <bottom style="thin">
          <color indexed="9"/>
        </bottom>
      </border>
    </dxf>
    <dxf>
      <font>
        <condense val="0"/>
        <extend val="0"/>
        <color indexed="55"/>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71920"/>
      <rgbColor rgb="00FFFFFF"/>
      <rgbColor rgb="00FF0000"/>
      <rgbColor rgb="0000FF00"/>
      <rgbColor rgb="000000FF"/>
      <rgbColor rgb="00FFFF00"/>
      <rgbColor rgb="00FF00FF"/>
      <rgbColor rgb="0000FFFF"/>
      <rgbColor rgb="00BE2F37"/>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D1D3D4"/>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276225</xdr:colOff>
      <xdr:row>33</xdr:row>
      <xdr:rowOff>47625</xdr:rowOff>
    </xdr:from>
    <xdr:to>
      <xdr:col>12</xdr:col>
      <xdr:colOff>800100</xdr:colOff>
      <xdr:row>35</xdr:row>
      <xdr:rowOff>38100</xdr:rowOff>
    </xdr:to>
    <xdr:sp macro="" textlink="">
      <xdr:nvSpPr>
        <xdr:cNvPr id="1357" name="AutoShape 83">
          <a:extLst>
            <a:ext uri="{FF2B5EF4-FFF2-40B4-BE49-F238E27FC236}">
              <a16:creationId xmlns:a16="http://schemas.microsoft.com/office/drawing/2014/main" id="{0CDEDAB4-D250-4295-8AEB-4D573076BC4B}"/>
            </a:ext>
          </a:extLst>
        </xdr:cNvPr>
        <xdr:cNvSpPr>
          <a:spLocks noChangeArrowheads="1"/>
        </xdr:cNvSpPr>
      </xdr:nvSpPr>
      <xdr:spPr bwMode="auto">
        <a:xfrm rot="5400000">
          <a:off x="8810625" y="5276850"/>
          <a:ext cx="314325" cy="523875"/>
        </a:xfrm>
        <a:prstGeom prst="homePlate">
          <a:avLst>
            <a:gd name="adj" fmla="val 25000"/>
          </a:avLst>
        </a:prstGeom>
        <a:solidFill>
          <a:srgbClr val="243657"/>
        </a:solidFill>
        <a:ln w="9525">
          <a:solidFill>
            <a:srgbClr xmlns:mc="http://schemas.openxmlformats.org/markup-compatibility/2006" xmlns:a14="http://schemas.microsoft.com/office/drawing/2010/main" val="C0C0C0" mc:Ignorable="a14" a14:legacySpreadsheetColorIndex="22"/>
          </a:solidFill>
          <a:miter lim="800000"/>
          <a:headEnd/>
          <a:tailEnd/>
        </a:ln>
      </xdr:spPr>
    </xdr:sp>
    <xdr:clientData/>
  </xdr:twoCellAnchor>
  <xdr:twoCellAnchor editAs="oneCell">
    <xdr:from>
      <xdr:col>1</xdr:col>
      <xdr:colOff>123825</xdr:colOff>
      <xdr:row>43</xdr:row>
      <xdr:rowOff>1133475</xdr:rowOff>
    </xdr:from>
    <xdr:to>
      <xdr:col>1</xdr:col>
      <xdr:colOff>695325</xdr:colOff>
      <xdr:row>43</xdr:row>
      <xdr:rowOff>1343025</xdr:rowOff>
    </xdr:to>
    <xdr:sp macro="" textlink="">
      <xdr:nvSpPr>
        <xdr:cNvPr id="1141" name="Button 117" hidden="1">
          <a:extLst>
            <a:ext uri="{63B3BB69-23CF-44E3-9099-C40C66FF867C}">
              <a14:compatExt xmlns:a14="http://schemas.microsoft.com/office/drawing/2010/main" spid="_x0000_s1141"/>
            </a:ext>
            <a:ext uri="{FF2B5EF4-FFF2-40B4-BE49-F238E27FC236}">
              <a16:creationId xmlns:a16="http://schemas.microsoft.com/office/drawing/2014/main" id="{4A22CBD5-3AFC-4F70-BF99-ED4C93E1314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sng" strike="noStrike" baseline="0">
              <a:solidFill>
                <a:srgbClr val="000000"/>
              </a:solidFill>
              <a:latin typeface="Arial"/>
              <a:cs typeface="Arial"/>
            </a:rPr>
            <a:t>P</a:t>
          </a:r>
          <a:r>
            <a:rPr lang="en-US" sz="1000" b="0" i="0" u="none" strike="noStrike" baseline="0">
              <a:solidFill>
                <a:srgbClr val="000000"/>
              </a:solidFill>
              <a:latin typeface="Arial"/>
              <a:cs typeface="Arial"/>
            </a:rPr>
            <a:t>rint</a:t>
          </a:r>
        </a:p>
      </xdr:txBody>
    </xdr:sp>
    <xdr:clientData fPrintsWithSheet="0"/>
  </xdr:twoCellAnchor>
  <xdr:twoCellAnchor editAs="oneCell">
    <xdr:from>
      <xdr:col>3</xdr:col>
      <xdr:colOff>0</xdr:colOff>
      <xdr:row>2</xdr:row>
      <xdr:rowOff>9525</xdr:rowOff>
    </xdr:from>
    <xdr:to>
      <xdr:col>3</xdr:col>
      <xdr:colOff>1276350</xdr:colOff>
      <xdr:row>2</xdr:row>
      <xdr:rowOff>866775</xdr:rowOff>
    </xdr:to>
    <xdr:pic>
      <xdr:nvPicPr>
        <xdr:cNvPr id="1358" name="Afbeelding 2">
          <a:extLst>
            <a:ext uri="{FF2B5EF4-FFF2-40B4-BE49-F238E27FC236}">
              <a16:creationId xmlns:a16="http://schemas.microsoft.com/office/drawing/2014/main" id="{AD86DD2B-503F-4B26-BD74-4267861E91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228600"/>
          <a:ext cx="1276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66675</xdr:colOff>
      <xdr:row>33</xdr:row>
      <xdr:rowOff>47625</xdr:rowOff>
    </xdr:from>
    <xdr:to>
      <xdr:col>12</xdr:col>
      <xdr:colOff>1019175</xdr:colOff>
      <xdr:row>40</xdr:row>
      <xdr:rowOff>28575</xdr:rowOff>
    </xdr:to>
    <xdr:sp macro="" textlink="">
      <xdr:nvSpPr>
        <xdr:cNvPr id="2222" name="AutoShape 1">
          <a:extLst>
            <a:ext uri="{FF2B5EF4-FFF2-40B4-BE49-F238E27FC236}">
              <a16:creationId xmlns:a16="http://schemas.microsoft.com/office/drawing/2014/main" id="{255E2B08-2664-41BB-B6FE-D80E9F5B05B2}"/>
            </a:ext>
          </a:extLst>
        </xdr:cNvPr>
        <xdr:cNvSpPr>
          <a:spLocks noChangeArrowheads="1"/>
        </xdr:cNvSpPr>
      </xdr:nvSpPr>
      <xdr:spPr bwMode="auto">
        <a:xfrm rot="5400000">
          <a:off x="8710612" y="5167313"/>
          <a:ext cx="523875" cy="952500"/>
        </a:xfrm>
        <a:prstGeom prst="homePlate">
          <a:avLst>
            <a:gd name="adj" fmla="val 25000"/>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C0C0C0" mc:Ignorable="a14" a14:legacySpreadsheetColorIndex="22"/>
              </a:solidFill>
              <a:miter lim="800000"/>
              <a:headEnd/>
              <a:tailEnd/>
            </a14:hiddenLine>
          </a:ext>
        </a:extLst>
      </xdr:spPr>
    </xdr:sp>
    <xdr:clientData/>
  </xdr:twoCellAnchor>
  <xdr:twoCellAnchor editAs="oneCell">
    <xdr:from>
      <xdr:col>1</xdr:col>
      <xdr:colOff>771525</xdr:colOff>
      <xdr:row>8</xdr:row>
      <xdr:rowOff>9525</xdr:rowOff>
    </xdr:from>
    <xdr:to>
      <xdr:col>3</xdr:col>
      <xdr:colOff>142875</xdr:colOff>
      <xdr:row>8</xdr:row>
      <xdr:rowOff>228600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A66437FD-B101-4D76-BD20-C663157831F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0</xdr:row>
      <xdr:rowOff>142875</xdr:rowOff>
    </xdr:from>
    <xdr:to>
      <xdr:col>3</xdr:col>
      <xdr:colOff>1428750</xdr:colOff>
      <xdr:row>3</xdr:row>
      <xdr:rowOff>19050</xdr:rowOff>
    </xdr:to>
    <xdr:pic>
      <xdr:nvPicPr>
        <xdr:cNvPr id="2223" name="Afbeelding 2">
          <a:extLst>
            <a:ext uri="{FF2B5EF4-FFF2-40B4-BE49-F238E27FC236}">
              <a16:creationId xmlns:a16="http://schemas.microsoft.com/office/drawing/2014/main" id="{3543D655-6A1A-4A30-B332-2578DD1F08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142875"/>
          <a:ext cx="14573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dimension ref="A1:C39"/>
  <sheetViews>
    <sheetView tabSelected="1" workbookViewId="0">
      <selection activeCell="C51" sqref="C51"/>
    </sheetView>
  </sheetViews>
  <sheetFormatPr defaultRowHeight="12.75"/>
  <cols>
    <col min="2" max="2" width="0.42578125" customWidth="1"/>
    <col min="3" max="3" width="55.28515625" bestFit="1" customWidth="1"/>
  </cols>
  <sheetData>
    <row r="1" spans="1:3" ht="13.15">
      <c r="A1" s="38" t="s">
        <v>0</v>
      </c>
      <c r="B1" s="38"/>
      <c r="C1" s="16" t="s">
        <v>1</v>
      </c>
    </row>
    <row r="2" spans="1:3">
      <c r="A2" s="42"/>
      <c r="B2" s="51"/>
      <c r="C2" s="43" t="s">
        <v>2</v>
      </c>
    </row>
    <row r="3" spans="1:3">
      <c r="A3" s="42"/>
      <c r="B3" s="51"/>
      <c r="C3" s="42"/>
    </row>
    <row r="4" spans="1:3">
      <c r="A4" s="42"/>
      <c r="B4" s="51"/>
      <c r="C4" s="42"/>
    </row>
    <row r="5" spans="1:3">
      <c r="A5" s="42"/>
      <c r="B5" s="51"/>
      <c r="C5" s="42"/>
    </row>
    <row r="6" spans="1:3">
      <c r="A6" s="42"/>
      <c r="B6" s="51"/>
      <c r="C6" s="42"/>
    </row>
    <row r="7" spans="1:3">
      <c r="A7" s="42"/>
      <c r="B7" s="51"/>
      <c r="C7" s="42"/>
    </row>
    <row r="8" spans="1:3">
      <c r="A8" s="42"/>
      <c r="B8" s="51"/>
      <c r="C8" s="42"/>
    </row>
    <row r="9" spans="1:3">
      <c r="A9" s="42"/>
      <c r="B9" s="51"/>
      <c r="C9" s="43" t="s">
        <v>3</v>
      </c>
    </row>
    <row r="10" spans="1:3">
      <c r="A10" s="81">
        <v>39814</v>
      </c>
      <c r="B10" s="51"/>
      <c r="C10" s="30" t="s">
        <v>4</v>
      </c>
    </row>
    <row r="11" spans="1:3">
      <c r="A11" s="42"/>
      <c r="B11" s="51"/>
      <c r="C11" s="30" t="s">
        <v>5</v>
      </c>
    </row>
    <row r="12" spans="1:3">
      <c r="A12" s="42"/>
      <c r="B12" s="51"/>
      <c r="C12" s="30" t="s">
        <v>6</v>
      </c>
    </row>
    <row r="13" spans="1:3">
      <c r="A13" s="42"/>
      <c r="B13" s="51"/>
      <c r="C13" s="30" t="s">
        <v>7</v>
      </c>
    </row>
    <row r="14" spans="1:3">
      <c r="A14" s="42"/>
      <c r="B14" s="51"/>
      <c r="C14" s="30" t="s">
        <v>8</v>
      </c>
    </row>
    <row r="15" spans="1:3">
      <c r="A15" s="42"/>
      <c r="B15" s="51"/>
      <c r="C15" s="30" t="s">
        <v>9</v>
      </c>
    </row>
    <row r="16" spans="1:3">
      <c r="A16" s="42"/>
      <c r="B16" s="51"/>
      <c r="C16" s="30" t="s">
        <v>10</v>
      </c>
    </row>
    <row r="17" spans="1:3">
      <c r="A17" s="42"/>
      <c r="B17" s="51"/>
      <c r="C17" s="30" t="s">
        <v>11</v>
      </c>
    </row>
    <row r="18" spans="1:3">
      <c r="A18" s="42"/>
      <c r="B18" s="51"/>
      <c r="C18" s="66" t="s">
        <v>12</v>
      </c>
    </row>
    <row r="19" spans="1:3">
      <c r="A19" s="30"/>
      <c r="B19" s="51"/>
      <c r="C19" s="30"/>
    </row>
    <row r="20" spans="1:3">
      <c r="A20" s="80">
        <v>39965</v>
      </c>
      <c r="B20" s="51"/>
      <c r="C20" s="30" t="s">
        <v>13</v>
      </c>
    </row>
    <row r="21" spans="1:3">
      <c r="A21" s="30"/>
      <c r="B21" s="51"/>
      <c r="C21" s="30" t="s">
        <v>14</v>
      </c>
    </row>
    <row r="22" spans="1:3">
      <c r="A22" s="80">
        <v>40087</v>
      </c>
      <c r="B22" s="51"/>
      <c r="C22" s="30" t="s">
        <v>15</v>
      </c>
    </row>
    <row r="23" spans="1:3">
      <c r="A23" s="30"/>
      <c r="B23" s="51"/>
      <c r="C23" s="30"/>
    </row>
    <row r="24" spans="1:3">
      <c r="A24" s="30"/>
      <c r="B24" s="51"/>
      <c r="C24" s="30"/>
    </row>
    <row r="25" spans="1:3">
      <c r="A25" s="30"/>
      <c r="B25" s="51"/>
      <c r="C25" s="30"/>
    </row>
    <row r="26" spans="1:3">
      <c r="A26" s="30"/>
      <c r="B26" s="51"/>
      <c r="C26" s="30"/>
    </row>
    <row r="27" spans="1:3">
      <c r="A27" s="42"/>
      <c r="B27" s="51"/>
      <c r="C27" s="30"/>
    </row>
    <row r="28" spans="1:3">
      <c r="A28" s="42"/>
      <c r="B28" s="51"/>
      <c r="C28" s="50" t="s">
        <v>16</v>
      </c>
    </row>
    <row r="29" spans="1:3">
      <c r="A29" s="42"/>
      <c r="B29" s="51"/>
      <c r="C29" s="30" t="s">
        <v>17</v>
      </c>
    </row>
    <row r="30" spans="1:3">
      <c r="A30" s="42"/>
      <c r="B30" s="51"/>
      <c r="C30" s="30" t="s">
        <v>18</v>
      </c>
    </row>
    <row r="31" spans="1:3">
      <c r="A31" s="42"/>
      <c r="B31" s="51"/>
      <c r="C31" s="30" t="s">
        <v>19</v>
      </c>
    </row>
    <row r="32" spans="1:3">
      <c r="A32" s="42"/>
      <c r="B32" s="51"/>
      <c r="C32" s="30" t="s">
        <v>20</v>
      </c>
    </row>
    <row r="33" spans="1:3">
      <c r="A33" s="42"/>
      <c r="B33" s="51"/>
      <c r="C33" s="30"/>
    </row>
    <row r="34" spans="1:3">
      <c r="A34" s="42"/>
      <c r="B34" s="51"/>
      <c r="C34" s="30" t="s">
        <v>21</v>
      </c>
    </row>
    <row r="35" spans="1:3">
      <c r="A35" s="42"/>
      <c r="B35" s="51"/>
      <c r="C35" s="30" t="s">
        <v>22</v>
      </c>
    </row>
    <row r="36" spans="1:3">
      <c r="A36" s="42"/>
      <c r="B36" s="51"/>
      <c r="C36" s="30" t="s">
        <v>23</v>
      </c>
    </row>
    <row r="37" spans="1:3">
      <c r="A37" s="42"/>
      <c r="B37" s="51"/>
      <c r="C37" s="42" t="s">
        <v>24</v>
      </c>
    </row>
    <row r="38" spans="1:3">
      <c r="A38" s="42"/>
      <c r="B38" s="51"/>
      <c r="C38" s="42"/>
    </row>
    <row r="39" spans="1:3">
      <c r="A39" s="42"/>
      <c r="B39" s="51"/>
      <c r="C39" s="42" t="s">
        <v>25</v>
      </c>
    </row>
  </sheetData>
  <sheetProtection password="F063" sheet="1" objects="1" scenarios="1"/>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pageSetUpPr fitToPage="1"/>
  </sheetPr>
  <dimension ref="A1:AB183"/>
  <sheetViews>
    <sheetView showGridLines="0" showRowColHeaders="0" showZeros="0" showOutlineSymbols="0" zoomScaleNormal="100" workbookViewId="0">
      <selection activeCell="G35" sqref="G35"/>
    </sheetView>
  </sheetViews>
  <sheetFormatPr defaultColWidth="9.140625" defaultRowHeight="13.15"/>
  <cols>
    <col min="1" max="1" width="2.85546875" style="103" customWidth="1"/>
    <col min="2" max="2" width="13.28515625" style="103" customWidth="1"/>
    <col min="3" max="3" width="0.7109375" style="103" customWidth="1"/>
    <col min="4" max="4" width="54.85546875" style="103" customWidth="1"/>
    <col min="5" max="5" width="1.140625" style="103" customWidth="1"/>
    <col min="6" max="6" width="1.5703125" style="103" customWidth="1"/>
    <col min="7" max="7" width="14.7109375" style="103" customWidth="1"/>
    <col min="8" max="8" width="4.28515625" style="103" customWidth="1"/>
    <col min="9" max="9" width="14.28515625" style="103" customWidth="1"/>
    <col min="10" max="10" width="4.42578125" style="103" customWidth="1"/>
    <col min="11" max="11" width="8.140625" style="103" customWidth="1"/>
    <col min="12" max="12" width="6.140625" style="103" customWidth="1"/>
    <col min="13" max="13" width="16.42578125" style="103" customWidth="1"/>
    <col min="14" max="14" width="2.5703125" style="103" customWidth="1"/>
    <col min="15" max="15" width="0.7109375" style="103" customWidth="1"/>
    <col min="16" max="16" width="7.5703125" style="103" customWidth="1"/>
    <col min="17" max="17" width="0.85546875" style="103" customWidth="1"/>
    <col min="18" max="18" width="2.7109375" style="103" customWidth="1"/>
    <col min="19" max="19" width="15.42578125" style="103" hidden="1" customWidth="1"/>
    <col min="20" max="20" width="9.140625" style="103" hidden="1" customWidth="1"/>
    <col min="21" max="21" width="36.28515625" style="103" hidden="1" customWidth="1"/>
    <col min="22" max="22" width="11.140625" style="103" hidden="1" customWidth="1"/>
    <col min="23" max="23" width="9.140625" style="103" hidden="1" customWidth="1"/>
    <col min="24" max="24" width="12.28515625" style="103" hidden="1" customWidth="1"/>
    <col min="25" max="25" width="30.140625" style="103" hidden="1" customWidth="1"/>
    <col min="26" max="167" width="0" style="103" hidden="1" customWidth="1"/>
    <col min="168" max="168" width="9.140625" style="103" customWidth="1"/>
    <col min="169" max="16384" width="9.140625" style="103"/>
  </cols>
  <sheetData>
    <row r="1" spans="1:28" ht="13.5" customHeight="1">
      <c r="A1" s="101"/>
      <c r="B1" s="101"/>
      <c r="C1" s="101"/>
      <c r="D1" s="102"/>
      <c r="E1" s="101"/>
      <c r="F1" s="101"/>
      <c r="G1" s="101"/>
      <c r="H1" s="101"/>
      <c r="I1" s="101"/>
      <c r="J1" s="101"/>
      <c r="K1" s="101"/>
      <c r="L1" s="101"/>
      <c r="M1" s="101"/>
      <c r="N1" s="101"/>
      <c r="O1" s="101"/>
      <c r="P1" s="101"/>
      <c r="Q1" s="101"/>
      <c r="R1" s="101"/>
      <c r="S1" s="101"/>
      <c r="T1" s="101"/>
      <c r="U1" s="101"/>
      <c r="V1" s="101"/>
      <c r="W1" s="101"/>
      <c r="X1" s="101"/>
      <c r="Y1" s="101"/>
      <c r="Z1" s="101"/>
      <c r="AA1" s="101"/>
      <c r="AB1" s="101"/>
    </row>
    <row r="2" spans="1:28" ht="3.75" customHeight="1">
      <c r="A2" s="101"/>
      <c r="B2" s="193"/>
      <c r="C2" s="193"/>
      <c r="D2" s="193"/>
      <c r="E2" s="193"/>
      <c r="F2" s="193"/>
      <c r="G2" s="193"/>
      <c r="H2" s="193"/>
      <c r="I2" s="193"/>
      <c r="J2" s="193"/>
      <c r="K2" s="193"/>
      <c r="L2" s="193"/>
      <c r="M2" s="193"/>
      <c r="N2" s="193"/>
      <c r="O2" s="193"/>
      <c r="P2" s="193"/>
      <c r="Q2" s="193"/>
      <c r="R2" s="101"/>
      <c r="S2" s="101"/>
      <c r="T2" s="101"/>
      <c r="U2" s="101"/>
      <c r="V2" s="101"/>
      <c r="W2" s="101"/>
      <c r="X2" s="101"/>
      <c r="Y2" s="101"/>
      <c r="Z2" s="101"/>
      <c r="AA2" s="101"/>
      <c r="AB2" s="101"/>
    </row>
    <row r="3" spans="1:28" ht="69" customHeight="1">
      <c r="A3" s="101"/>
      <c r="B3" s="194"/>
      <c r="C3" s="195"/>
      <c r="D3" s="104"/>
      <c r="E3" s="104"/>
      <c r="F3" s="104"/>
      <c r="G3" s="104"/>
      <c r="H3" s="104"/>
      <c r="I3" s="104"/>
      <c r="J3" s="104"/>
      <c r="K3" s="104"/>
      <c r="L3" s="104"/>
      <c r="M3" s="104"/>
      <c r="N3" s="104"/>
      <c r="O3" s="104"/>
      <c r="P3" s="104"/>
      <c r="Q3" s="193"/>
      <c r="R3" s="101"/>
      <c r="S3" s="101">
        <f ca="1">IF(AND(G8&lt;39173,G15&gt;0,G15&lt;60),$M$12,G14)</f>
        <v>0</v>
      </c>
      <c r="T3" s="101"/>
      <c r="U3" s="101"/>
      <c r="V3" s="101"/>
      <c r="W3" s="101"/>
      <c r="X3" s="101"/>
      <c r="Y3" s="101"/>
      <c r="Z3" s="101"/>
      <c r="AA3" s="101"/>
      <c r="AB3" s="101"/>
    </row>
    <row r="4" spans="1:28">
      <c r="A4" s="101"/>
      <c r="B4" s="193"/>
      <c r="C4" s="193"/>
      <c r="D4" s="193"/>
      <c r="E4" s="193"/>
      <c r="F4" s="193"/>
      <c r="G4" s="193"/>
      <c r="H4" s="193"/>
      <c r="I4" s="193"/>
      <c r="J4" s="193"/>
      <c r="K4" s="193"/>
      <c r="L4" s="193"/>
      <c r="M4" s="193"/>
      <c r="N4" s="193"/>
      <c r="O4" s="193"/>
      <c r="P4" s="193"/>
      <c r="Q4" s="193"/>
      <c r="R4" s="101"/>
      <c r="S4" s="101"/>
      <c r="T4" s="105"/>
      <c r="U4" s="101" t="s">
        <v>26</v>
      </c>
      <c r="V4" s="101"/>
      <c r="W4" s="101"/>
      <c r="X4" s="101"/>
      <c r="Y4" s="101"/>
      <c r="Z4" s="101"/>
      <c r="AA4" s="101"/>
      <c r="AB4" s="101"/>
    </row>
    <row r="5" spans="1:28" ht="4.5" customHeight="1">
      <c r="A5" s="101"/>
      <c r="B5" s="193"/>
      <c r="C5" s="193"/>
      <c r="D5" s="193"/>
      <c r="E5" s="193"/>
      <c r="F5" s="193"/>
      <c r="G5" s="193"/>
      <c r="H5" s="193"/>
      <c r="I5" s="193"/>
      <c r="J5" s="193"/>
      <c r="K5" s="193"/>
      <c r="L5" s="193"/>
      <c r="M5" s="193"/>
      <c r="N5" s="193"/>
      <c r="O5" s="193"/>
      <c r="P5" s="193"/>
      <c r="Q5" s="193"/>
      <c r="R5" s="101"/>
      <c r="S5" s="101"/>
      <c r="T5" s="101"/>
      <c r="U5" s="101"/>
      <c r="V5" s="101"/>
      <c r="W5" s="101"/>
      <c r="X5" s="101"/>
      <c r="Y5" s="101"/>
      <c r="Z5" s="101"/>
      <c r="AA5" s="101"/>
      <c r="AB5" s="101"/>
    </row>
    <row r="6" spans="1:28" ht="12.75" customHeight="1">
      <c r="A6" s="101"/>
      <c r="B6" s="193"/>
      <c r="C6" s="193"/>
      <c r="D6" s="235" t="s">
        <v>27</v>
      </c>
      <c r="E6" s="196"/>
      <c r="F6" s="196"/>
      <c r="G6" s="301"/>
      <c r="H6" s="302"/>
      <c r="I6" s="303"/>
      <c r="J6" s="196"/>
      <c r="K6" s="196"/>
      <c r="L6" s="196"/>
      <c r="M6" s="196"/>
      <c r="N6" s="196"/>
      <c r="O6" s="196"/>
      <c r="P6" s="193"/>
      <c r="Q6" s="193"/>
      <c r="R6" s="101"/>
      <c r="S6" s="101"/>
      <c r="T6" s="298" t="s">
        <v>28</v>
      </c>
      <c r="U6" s="299"/>
      <c r="V6" s="299"/>
      <c r="W6" s="300"/>
      <c r="X6" s="101"/>
      <c r="Y6" s="101"/>
      <c r="Z6" s="101"/>
      <c r="AA6" s="101"/>
      <c r="AB6" s="101"/>
    </row>
    <row r="7" spans="1:28" ht="4.5" customHeight="1">
      <c r="A7" s="101"/>
      <c r="B7" s="193"/>
      <c r="C7" s="190"/>
      <c r="D7" s="190"/>
      <c r="E7" s="190"/>
      <c r="F7" s="190"/>
      <c r="G7" s="190"/>
      <c r="H7" s="190"/>
      <c r="I7" s="190"/>
      <c r="J7" s="190"/>
      <c r="K7" s="190"/>
      <c r="L7" s="190"/>
      <c r="M7" s="190"/>
      <c r="N7" s="193"/>
      <c r="O7" s="193"/>
      <c r="P7" s="193"/>
      <c r="Q7" s="193"/>
      <c r="R7" s="101"/>
      <c r="S7" s="101"/>
      <c r="T7" s="106"/>
      <c r="U7" s="107"/>
      <c r="V7" s="107"/>
      <c r="W7" s="108"/>
      <c r="X7" s="101"/>
      <c r="Y7" s="101"/>
      <c r="Z7" s="101"/>
      <c r="AA7" s="101"/>
      <c r="AB7" s="101"/>
    </row>
    <row r="8" spans="1:28">
      <c r="A8" s="101"/>
      <c r="B8" s="193"/>
      <c r="C8" s="190"/>
      <c r="D8" s="236" t="s">
        <v>29</v>
      </c>
      <c r="E8" s="193"/>
      <c r="F8" s="193"/>
      <c r="G8" s="109"/>
      <c r="H8" s="197"/>
      <c r="I8" s="198">
        <f ca="1">IF(G8="",NOW(),G8)</f>
        <v>44497.515531944446</v>
      </c>
      <c r="J8" s="190"/>
      <c r="K8" s="190"/>
      <c r="L8" s="190"/>
      <c r="M8" s="190"/>
      <c r="N8" s="193"/>
      <c r="O8" s="193"/>
      <c r="P8" s="193"/>
      <c r="Q8" s="193"/>
      <c r="R8" s="101"/>
      <c r="S8" s="101"/>
      <c r="T8" s="332" t="str">
        <f ca="1">IF(I8&lt;U55,"De offertedatum ligt voor invoering AFM-toetrente","" )</f>
        <v/>
      </c>
      <c r="U8" s="333"/>
      <c r="V8" s="333"/>
      <c r="W8" s="334"/>
      <c r="X8" s="101"/>
      <c r="Y8" s="110" t="b">
        <v>0</v>
      </c>
      <c r="Z8" s="101"/>
      <c r="AA8" s="101"/>
      <c r="AB8" s="101"/>
    </row>
    <row r="9" spans="1:28" ht="21.75" customHeight="1">
      <c r="A9" s="101"/>
      <c r="B9" s="193"/>
      <c r="C9" s="190"/>
      <c r="D9" s="199"/>
      <c r="E9" s="190"/>
      <c r="F9" s="190"/>
      <c r="G9" s="200"/>
      <c r="H9" s="200"/>
      <c r="I9" s="200"/>
      <c r="J9" s="190"/>
      <c r="K9" s="190"/>
      <c r="L9" s="190"/>
      <c r="M9" s="190"/>
      <c r="N9" s="193"/>
      <c r="O9" s="193"/>
      <c r="P9" s="193"/>
      <c r="Q9" s="193"/>
      <c r="R9" s="101"/>
      <c r="S9" s="101"/>
      <c r="T9" s="335"/>
      <c r="U9" s="336"/>
      <c r="V9" s="336"/>
      <c r="W9" s="337"/>
      <c r="X9" s="101"/>
      <c r="Y9" s="101"/>
      <c r="Z9" s="101"/>
      <c r="AA9" s="101"/>
      <c r="AB9" s="101"/>
    </row>
    <row r="10" spans="1:28" ht="12.75" customHeight="1">
      <c r="A10" s="101"/>
      <c r="B10" s="193"/>
      <c r="C10" s="190"/>
      <c r="D10" s="237" t="s">
        <v>30</v>
      </c>
      <c r="E10" s="192"/>
      <c r="F10" s="192"/>
      <c r="G10" s="238" t="s">
        <v>31</v>
      </c>
      <c r="H10" s="202"/>
      <c r="I10" s="238" t="s">
        <v>32</v>
      </c>
      <c r="J10" s="192"/>
      <c r="K10" s="190"/>
      <c r="L10" s="190"/>
      <c r="M10" s="239" t="s">
        <v>33</v>
      </c>
      <c r="N10" s="193"/>
      <c r="O10" s="193"/>
      <c r="P10" s="193"/>
      <c r="Q10" s="193"/>
      <c r="R10" s="101"/>
      <c r="S10" s="101"/>
      <c r="T10" s="338"/>
      <c r="U10" s="339"/>
      <c r="V10" s="339"/>
      <c r="W10" s="340"/>
      <c r="X10" s="101"/>
      <c r="Y10" s="110" t="b">
        <v>1</v>
      </c>
      <c r="Z10" s="101" t="s">
        <v>34</v>
      </c>
      <c r="AA10" s="101"/>
      <c r="AB10" s="101"/>
    </row>
    <row r="11" spans="1:28" ht="5.0999999999999996" customHeight="1">
      <c r="A11" s="101"/>
      <c r="B11" s="193"/>
      <c r="C11" s="190"/>
      <c r="D11" s="190"/>
      <c r="E11" s="190"/>
      <c r="F11" s="190"/>
      <c r="G11" s="190"/>
      <c r="H11" s="190"/>
      <c r="I11" s="190"/>
      <c r="J11" s="190"/>
      <c r="K11" s="190"/>
      <c r="L11" s="190"/>
      <c r="M11" s="190"/>
      <c r="N11" s="193"/>
      <c r="O11" s="193"/>
      <c r="P11" s="193"/>
      <c r="Q11" s="193"/>
      <c r="R11" s="101"/>
      <c r="S11" s="101"/>
      <c r="T11" s="106"/>
      <c r="U11" s="107"/>
      <c r="V11" s="107"/>
      <c r="W11" s="108"/>
      <c r="X11" s="101"/>
      <c r="Y11" s="101"/>
      <c r="Z11" s="101"/>
      <c r="AA11" s="101"/>
      <c r="AB11" s="101"/>
    </row>
    <row r="12" spans="1:28" ht="12.75" customHeight="1">
      <c r="A12" s="101"/>
      <c r="B12" s="193"/>
      <c r="C12" s="190"/>
      <c r="D12" s="187" t="s">
        <v>35</v>
      </c>
      <c r="E12" s="188"/>
      <c r="F12" s="188"/>
      <c r="G12" s="111"/>
      <c r="H12" s="203"/>
      <c r="I12" s="204">
        <f>IF(G15=0,0,G12)</f>
        <v>0</v>
      </c>
      <c r="J12" s="205"/>
      <c r="K12" s="193"/>
      <c r="L12" s="193"/>
      <c r="M12" s="305">
        <f ca="1">IF($I$8&lt;$U$55,"n.v.t.",X122)</f>
        <v>0.05</v>
      </c>
      <c r="N12" s="225"/>
      <c r="O12" s="193"/>
      <c r="P12" s="193"/>
      <c r="Q12" s="193"/>
      <c r="R12" s="101"/>
      <c r="S12" s="101"/>
      <c r="T12" s="332" t="str">
        <f ca="1">IF(J14="AFM","/Aan leningdeel 1 is de AFM-toetsrente toegekend","")</f>
        <v/>
      </c>
      <c r="U12" s="333"/>
      <c r="V12" s="333"/>
      <c r="W12" s="334"/>
      <c r="X12" s="101"/>
      <c r="Y12" s="296" t="s">
        <v>36</v>
      </c>
      <c r="Z12" s="297"/>
      <c r="AA12" s="101"/>
      <c r="AB12" s="101"/>
    </row>
    <row r="13" spans="1:28" ht="12.75" customHeight="1">
      <c r="A13" s="101"/>
      <c r="B13" s="193"/>
      <c r="C13" s="190"/>
      <c r="D13" s="189" t="s">
        <v>37</v>
      </c>
      <c r="E13" s="190"/>
      <c r="F13" s="190"/>
      <c r="G13" s="112"/>
      <c r="H13" s="206" t="s">
        <v>38</v>
      </c>
      <c r="I13" s="207">
        <f>IF(H13="mnd",G13,G13*12)</f>
        <v>0</v>
      </c>
      <c r="J13" s="208" t="s">
        <v>38</v>
      </c>
      <c r="K13" s="193"/>
      <c r="L13" s="193"/>
      <c r="M13" s="306"/>
      <c r="N13" s="225" t="s">
        <v>39</v>
      </c>
      <c r="O13" s="193"/>
      <c r="P13" s="226"/>
      <c r="Q13" s="193"/>
      <c r="R13" s="101"/>
      <c r="S13" s="101"/>
      <c r="T13" s="341" t="str">
        <f>IF(I13&gt;360,"/ Looptijd leningdeel 1 is langer dan 30 jaar","")</f>
        <v/>
      </c>
      <c r="U13" s="342"/>
      <c r="V13" s="342"/>
      <c r="W13" s="343"/>
      <c r="X13" s="101"/>
      <c r="Y13" s="113">
        <f ca="1">IF(G15&gt;0,IF(AND(I15&lt;120,G12&gt;0,G13&gt;0,$I$8&gt;$V$54),$M$12,G14),0)</f>
        <v>0</v>
      </c>
      <c r="Z13" s="114" t="s">
        <v>40</v>
      </c>
      <c r="AA13" s="101"/>
      <c r="AB13" s="101"/>
    </row>
    <row r="14" spans="1:28" ht="12.75" customHeight="1">
      <c r="A14" s="101"/>
      <c r="B14" s="193"/>
      <c r="C14" s="190"/>
      <c r="D14" s="189" t="s">
        <v>41</v>
      </c>
      <c r="E14" s="190"/>
      <c r="F14" s="190"/>
      <c r="G14" s="115"/>
      <c r="H14" s="209"/>
      <c r="I14" s="210">
        <f ca="1">IF(G12="",G14,IF(AND($G$8&lt;39173,G15&lt;=60),$M$17,IF(AND($G$8&lt;39173,G15&gt;60),G14,IF(AND($G$8&gt;39172,G15&lt;120),$M$12,G14))))</f>
        <v>0</v>
      </c>
      <c r="J14" s="208" t="str">
        <f ca="1">IF(AND(I14=$M$12,I14&gt;0,$I$8&gt;$V$54),"AFM",IF(AND(I14=$M$17,I14&gt;0,$I$8&lt;$U$55),"NHG",""))</f>
        <v/>
      </c>
      <c r="K14" s="211"/>
      <c r="L14" s="193"/>
      <c r="M14" s="228"/>
      <c r="N14" s="225"/>
      <c r="O14" s="193"/>
      <c r="P14" s="227"/>
      <c r="Q14" s="193"/>
      <c r="R14" s="101"/>
      <c r="S14" s="101"/>
      <c r="T14" s="344" t="str">
        <f ca="1">IF(J14="NHG","/Aan leningdeel 1 is de NHG-toetsrente toegekend","")</f>
        <v/>
      </c>
      <c r="U14" s="345"/>
      <c r="V14" s="345"/>
      <c r="W14" s="346"/>
      <c r="X14" s="101"/>
      <c r="Y14" s="116">
        <f ca="1">IF(G15&gt;0,IF(AND(I15&lt;61,G12&gt;0,G13&gt;0,$I$8&lt;$V$54),IF(G14&gt;6%,G14,$M$17),G14),0)</f>
        <v>0</v>
      </c>
      <c r="Z14" s="114" t="s">
        <v>42</v>
      </c>
      <c r="AA14" s="101"/>
      <c r="AB14" s="101"/>
    </row>
    <row r="15" spans="1:28" ht="12.75" customHeight="1">
      <c r="A15" s="101"/>
      <c r="B15" s="193"/>
      <c r="C15" s="190"/>
      <c r="D15" s="191" t="s">
        <v>43</v>
      </c>
      <c r="E15" s="192"/>
      <c r="F15" s="192"/>
      <c r="G15" s="117"/>
      <c r="H15" s="206" t="s">
        <v>38</v>
      </c>
      <c r="I15" s="201">
        <f>IF(H15="mnd",G15,G15*12)</f>
        <v>0</v>
      </c>
      <c r="J15" s="212" t="s">
        <v>38</v>
      </c>
      <c r="K15" s="193"/>
      <c r="L15" s="193"/>
      <c r="M15" s="240" t="s">
        <v>44</v>
      </c>
      <c r="N15" s="193"/>
      <c r="O15" s="193"/>
      <c r="P15" s="227"/>
      <c r="Q15" s="193"/>
      <c r="R15" s="101"/>
      <c r="S15" s="101"/>
      <c r="T15" s="293" t="str">
        <f>IF(AND(I13&gt;0,I15&gt;I13),"/ De resterende rentevastperiode leningdeel 1 is te lang","")</f>
        <v/>
      </c>
      <c r="U15" s="294"/>
      <c r="V15" s="294"/>
      <c r="W15" s="295"/>
      <c r="X15" s="101"/>
      <c r="Y15" s="118">
        <f ca="1">IF(AND(Y10=TRUE,G14&gt;$M$12,G15&lt;120),G14,0)</f>
        <v>0</v>
      </c>
      <c r="Z15" s="119" t="s">
        <v>45</v>
      </c>
      <c r="AA15" s="101"/>
      <c r="AB15" s="101"/>
    </row>
    <row r="16" spans="1:28" ht="5.0999999999999996" customHeight="1">
      <c r="A16" s="101"/>
      <c r="B16" s="193"/>
      <c r="C16" s="190"/>
      <c r="D16" s="190"/>
      <c r="E16" s="190"/>
      <c r="F16" s="190"/>
      <c r="G16" s="217"/>
      <c r="H16" s="209"/>
      <c r="I16" s="210"/>
      <c r="J16" s="213"/>
      <c r="K16" s="193"/>
      <c r="L16" s="193"/>
      <c r="M16" s="190"/>
      <c r="N16" s="193"/>
      <c r="O16" s="193"/>
      <c r="P16" s="227"/>
      <c r="Q16" s="193"/>
      <c r="R16" s="101"/>
      <c r="S16" s="101"/>
      <c r="T16" s="120"/>
      <c r="U16" s="121"/>
      <c r="V16" s="121"/>
      <c r="W16" s="122"/>
      <c r="X16" s="101"/>
      <c r="Y16" s="123"/>
      <c r="Z16" s="124"/>
      <c r="AA16" s="101"/>
      <c r="AB16" s="101"/>
    </row>
    <row r="17" spans="1:28">
      <c r="A17" s="101"/>
      <c r="B17" s="190"/>
      <c r="C17" s="190"/>
      <c r="D17" s="187" t="s">
        <v>46</v>
      </c>
      <c r="E17" s="188"/>
      <c r="F17" s="188"/>
      <c r="G17" s="111"/>
      <c r="H17" s="214"/>
      <c r="I17" s="204">
        <f>IF(G20=0,0,G17)</f>
        <v>0</v>
      </c>
      <c r="J17" s="215"/>
      <c r="K17" s="193"/>
      <c r="L17" s="193"/>
      <c r="M17" s="286" t="str">
        <f ca="1">IF($I$8&gt;V54,"n.v.t.",6%)</f>
        <v>n.v.t.</v>
      </c>
      <c r="N17" s="193"/>
      <c r="O17" s="193"/>
      <c r="P17" s="227"/>
      <c r="Q17" s="193"/>
      <c r="R17" s="101"/>
      <c r="S17" s="101"/>
      <c r="T17" s="332" t="str">
        <f ca="1">IF(J19="AFM","/Aan leningdeel 2 is de AFM-toetsrente toegekend","")</f>
        <v/>
      </c>
      <c r="U17" s="333"/>
      <c r="V17" s="333"/>
      <c r="W17" s="334"/>
      <c r="X17" s="101"/>
      <c r="Y17" s="123"/>
      <c r="Z17" s="124"/>
      <c r="AA17" s="101"/>
      <c r="AB17" s="101"/>
    </row>
    <row r="18" spans="1:28">
      <c r="A18" s="101"/>
      <c r="B18" s="193"/>
      <c r="C18" s="190"/>
      <c r="D18" s="189" t="s">
        <v>47</v>
      </c>
      <c r="E18" s="190"/>
      <c r="F18" s="190"/>
      <c r="G18" s="112"/>
      <c r="H18" s="206" t="s">
        <v>38</v>
      </c>
      <c r="I18" s="207">
        <f>IF(H18="mnd",G18,G18*12)</f>
        <v>0</v>
      </c>
      <c r="J18" s="208" t="s">
        <v>38</v>
      </c>
      <c r="K18" s="193"/>
      <c r="L18" s="193"/>
      <c r="M18" s="347"/>
      <c r="N18" s="193"/>
      <c r="O18" s="193"/>
      <c r="P18" s="227"/>
      <c r="Q18" s="193"/>
      <c r="R18" s="101"/>
      <c r="S18" s="101"/>
      <c r="T18" s="341" t="str">
        <f>IF(I18&gt;360,"/ Looptijd leningdeel 2 is langer dan 30 jaar","")</f>
        <v/>
      </c>
      <c r="U18" s="342"/>
      <c r="V18" s="342"/>
      <c r="W18" s="343"/>
      <c r="X18" s="101"/>
      <c r="Y18" s="113">
        <f ca="1">IF(G20&gt;0,IF(AND(I20&lt;120,G17&gt;0,G18&gt;0,$I$8&gt;$V$54),$M$12,G19),0)</f>
        <v>0</v>
      </c>
      <c r="Z18" s="114" t="s">
        <v>40</v>
      </c>
      <c r="AA18" s="101"/>
      <c r="AB18" s="101"/>
    </row>
    <row r="19" spans="1:28">
      <c r="A19" s="101"/>
      <c r="B19" s="193"/>
      <c r="C19" s="190"/>
      <c r="D19" s="189" t="s">
        <v>48</v>
      </c>
      <c r="E19" s="190"/>
      <c r="F19" s="190"/>
      <c r="G19" s="115"/>
      <c r="H19" s="209"/>
      <c r="I19" s="210">
        <f ca="1">IF(G17="",G19,IF(AND($G$8&lt;39173,G20&lt;=60),$M$17,IF(AND($G$8&lt;39173,G20&gt;60),G19,IF(AND($G$8&gt;39172,G20&lt;120),$M$12,G19))))</f>
        <v>0</v>
      </c>
      <c r="J19" s="208" t="str">
        <f ca="1">IF(AND(I19=$M$12,I19&gt;0,$I$8&gt;$V$54),"AFM",IF(AND(I19=$M$17,I19&gt;0,$I$8&lt;$U$55),"NHG",""))</f>
        <v/>
      </c>
      <c r="K19" s="211" t="str">
        <f ca="1">IF(OR($Y$8=TRUE,Y20&gt;0),"perc.GG","" )</f>
        <v/>
      </c>
      <c r="L19" s="193"/>
      <c r="M19" s="190"/>
      <c r="N19" s="193"/>
      <c r="O19" s="193"/>
      <c r="P19" s="227"/>
      <c r="Q19" s="193"/>
      <c r="R19" s="101"/>
      <c r="S19" s="101"/>
      <c r="T19" s="344" t="str">
        <f ca="1">IF(J19="NHG","/Aan leningdeel 2 is de NHG-toetsrente toegekend","")</f>
        <v/>
      </c>
      <c r="U19" s="345"/>
      <c r="V19" s="345"/>
      <c r="W19" s="346"/>
      <c r="X19" s="101"/>
      <c r="Y19" s="116">
        <f ca="1">IF(G20&gt;0,IF(AND(I20&lt;61,G17&gt;0,G18&gt;0,$I$8&lt;$V$54),IF(G19&gt;6%,G19,$M$17),G19),0)</f>
        <v>0</v>
      </c>
      <c r="Z19" s="114" t="s">
        <v>42</v>
      </c>
      <c r="AA19" s="101"/>
      <c r="AB19" s="101"/>
    </row>
    <row r="20" spans="1:28">
      <c r="A20" s="101"/>
      <c r="B20" s="193"/>
      <c r="C20" s="190"/>
      <c r="D20" s="191" t="s">
        <v>43</v>
      </c>
      <c r="E20" s="192"/>
      <c r="F20" s="192"/>
      <c r="G20" s="117"/>
      <c r="H20" s="206" t="s">
        <v>38</v>
      </c>
      <c r="I20" s="201">
        <f>IF(H20="mnd",G20,G20*12)</f>
        <v>0</v>
      </c>
      <c r="J20" s="212" t="s">
        <v>38</v>
      </c>
      <c r="K20" s="193"/>
      <c r="L20" s="193"/>
      <c r="M20" s="240" t="s">
        <v>49</v>
      </c>
      <c r="N20" s="193"/>
      <c r="O20" s="193"/>
      <c r="P20" s="227"/>
      <c r="Q20" s="193"/>
      <c r="R20" s="101"/>
      <c r="S20" s="101"/>
      <c r="T20" s="293" t="str">
        <f>IF(I20&gt;I18,"/ De resterende rentevastperiode van leningdeel 2 is te lang","")</f>
        <v/>
      </c>
      <c r="U20" s="294"/>
      <c r="V20" s="294"/>
      <c r="W20" s="295"/>
      <c r="X20" s="101"/>
      <c r="Y20" s="125">
        <f ca="1">IF(AND(Y10=TRUE,G19&gt;$M$12,G20&lt;120),G19,0)</f>
        <v>0</v>
      </c>
      <c r="Z20" s="119" t="s">
        <v>45</v>
      </c>
      <c r="AA20" s="101"/>
      <c r="AB20" s="101"/>
    </row>
    <row r="21" spans="1:28" ht="5.0999999999999996" customHeight="1">
      <c r="A21" s="101"/>
      <c r="B21" s="193"/>
      <c r="C21" s="190"/>
      <c r="D21" s="190"/>
      <c r="E21" s="190"/>
      <c r="F21" s="190"/>
      <c r="G21" s="217"/>
      <c r="H21" s="209"/>
      <c r="I21" s="210"/>
      <c r="J21" s="213"/>
      <c r="K21" s="193"/>
      <c r="L21" s="193"/>
      <c r="M21" s="190"/>
      <c r="N21" s="193"/>
      <c r="O21" s="193"/>
      <c r="P21" s="227"/>
      <c r="Q21" s="193"/>
      <c r="R21" s="101"/>
      <c r="S21" s="101"/>
      <c r="T21" s="120"/>
      <c r="U21" s="121"/>
      <c r="V21" s="121"/>
      <c r="W21" s="122"/>
      <c r="X21" s="101"/>
      <c r="Y21" s="123"/>
      <c r="Z21" s="124"/>
      <c r="AA21" s="101"/>
      <c r="AB21" s="101"/>
    </row>
    <row r="22" spans="1:28">
      <c r="A22" s="101"/>
      <c r="B22" s="193"/>
      <c r="C22" s="190"/>
      <c r="D22" s="187" t="s">
        <v>50</v>
      </c>
      <c r="E22" s="188"/>
      <c r="F22" s="188"/>
      <c r="G22" s="111"/>
      <c r="H22" s="214"/>
      <c r="I22" s="204">
        <f>IF(G25=0,0,G22)</f>
        <v>0</v>
      </c>
      <c r="J22" s="215"/>
      <c r="K22" s="193"/>
      <c r="L22" s="193"/>
      <c r="M22" s="304" t="str">
        <f ca="1">IF(I37=0,"",S150)</f>
        <v/>
      </c>
      <c r="N22" s="211"/>
      <c r="O22" s="211"/>
      <c r="P22" s="227"/>
      <c r="Q22" s="211"/>
      <c r="R22" s="126"/>
      <c r="S22" s="101"/>
      <c r="T22" s="332" t="str">
        <f ca="1">IF(J24="AFM","/Aan leningdeel 3 is de AFM-toetsrente toegekend","")</f>
        <v/>
      </c>
      <c r="U22" s="333"/>
      <c r="V22" s="333"/>
      <c r="W22" s="334"/>
      <c r="X22" s="101"/>
      <c r="Y22" s="123"/>
      <c r="Z22" s="124"/>
      <c r="AA22" s="101"/>
      <c r="AB22" s="101"/>
    </row>
    <row r="23" spans="1:28">
      <c r="A23" s="101"/>
      <c r="B23" s="193"/>
      <c r="C23" s="190"/>
      <c r="D23" s="189" t="s">
        <v>51</v>
      </c>
      <c r="E23" s="190"/>
      <c r="F23" s="190"/>
      <c r="G23" s="112"/>
      <c r="H23" s="206" t="s">
        <v>38</v>
      </c>
      <c r="I23" s="207">
        <f>IF(H23="mnd",G23,G23*12)</f>
        <v>0</v>
      </c>
      <c r="J23" s="208" t="s">
        <v>38</v>
      </c>
      <c r="K23" s="193"/>
      <c r="L23" s="193"/>
      <c r="M23" s="292"/>
      <c r="N23" s="193"/>
      <c r="O23" s="193"/>
      <c r="P23" s="227"/>
      <c r="Q23" s="193"/>
      <c r="R23" s="101"/>
      <c r="S23" s="101"/>
      <c r="T23" s="341" t="str">
        <f>IF(I23&gt;360,"/ Looptijd leningdeel 3 is langer dan 30 jaar","")</f>
        <v/>
      </c>
      <c r="U23" s="342"/>
      <c r="V23" s="342"/>
      <c r="W23" s="343"/>
      <c r="X23" s="101"/>
      <c r="Y23" s="113">
        <f ca="1">IF(G25&gt;0,IF(AND(I25&lt;120,G22&gt;0,G23&gt;0,$I$8&gt;$V$54),$M$12,G24),0)</f>
        <v>0</v>
      </c>
      <c r="Z23" s="114" t="s">
        <v>40</v>
      </c>
      <c r="AA23" s="101"/>
      <c r="AB23" s="101"/>
    </row>
    <row r="24" spans="1:28">
      <c r="A24" s="101"/>
      <c r="B24" s="193"/>
      <c r="C24" s="190"/>
      <c r="D24" s="189" t="s">
        <v>52</v>
      </c>
      <c r="E24" s="190"/>
      <c r="F24" s="190"/>
      <c r="G24" s="115"/>
      <c r="H24" s="209"/>
      <c r="I24" s="210">
        <f ca="1">IF(G22="",G24,IF(AND($G$8&lt;39173,G25&lt;=60),$M$17,IF(AND($G$8&lt;39173,G25&gt;60),G24,IF(AND($G$8&gt;39172,G25&lt;120),$M$12,G24))))</f>
        <v>0</v>
      </c>
      <c r="J24" s="208" t="str">
        <f ca="1">IF(AND(I24=$M$12,I24&gt;0,$I$8&gt;$V$54),"AFM",IF(AND(I24=$M$17,I24&gt;0,$I$8&lt;$U$55),"NHG",""))</f>
        <v/>
      </c>
      <c r="K24" s="211" t="str">
        <f ca="1">IF(OR($Y$8=TRUE,Y25&gt;0),"perc.GG","" )</f>
        <v/>
      </c>
      <c r="L24" s="193"/>
      <c r="M24" s="229"/>
      <c r="N24" s="193"/>
      <c r="O24" s="193"/>
      <c r="P24" s="227"/>
      <c r="Q24" s="193"/>
      <c r="R24" s="101"/>
      <c r="S24" s="101"/>
      <c r="T24" s="344" t="str">
        <f ca="1">IF(J24="NHG","/Aan leningdeel 3 is de NHG-toetsrente toegekend","")</f>
        <v/>
      </c>
      <c r="U24" s="345"/>
      <c r="V24" s="345"/>
      <c r="W24" s="346"/>
      <c r="X24" s="101"/>
      <c r="Y24" s="116">
        <f ca="1">IF(G25&gt;0,IF(AND(I25&lt;61,G22&gt;0,G23&gt;0,$I$8&lt;$V$54),IF(G24&gt;6%,G24,$M$17),G24),0)</f>
        <v>0</v>
      </c>
      <c r="Z24" s="114" t="s">
        <v>42</v>
      </c>
      <c r="AA24" s="101"/>
      <c r="AB24" s="101"/>
    </row>
    <row r="25" spans="1:28">
      <c r="A25" s="101"/>
      <c r="B25" s="193"/>
      <c r="C25" s="190"/>
      <c r="D25" s="191" t="s">
        <v>43</v>
      </c>
      <c r="E25" s="192"/>
      <c r="F25" s="192"/>
      <c r="G25" s="117"/>
      <c r="H25" s="206" t="s">
        <v>38</v>
      </c>
      <c r="I25" s="201">
        <f>IF(H25="mnd",G25,G25*12)</f>
        <v>0</v>
      </c>
      <c r="J25" s="212" t="s">
        <v>38</v>
      </c>
      <c r="K25" s="193"/>
      <c r="L25" s="193"/>
      <c r="M25" s="240" t="s">
        <v>53</v>
      </c>
      <c r="N25" s="193"/>
      <c r="O25" s="193"/>
      <c r="P25" s="227"/>
      <c r="Q25" s="193"/>
      <c r="R25" s="101"/>
      <c r="S25" s="101"/>
      <c r="T25" s="293" t="str">
        <f>IF(I25&gt;I23,"/ De resterende rentevastperiode van leningdeel 3 is te lang","")</f>
        <v/>
      </c>
      <c r="U25" s="294"/>
      <c r="V25" s="294"/>
      <c r="W25" s="295"/>
      <c r="X25" s="101"/>
      <c r="Y25" s="125">
        <f ca="1">IF(AND(Y10=TRUE,G24&gt;$M$12,G25&lt;120),G24,0)</f>
        <v>0</v>
      </c>
      <c r="Z25" s="119" t="s">
        <v>45</v>
      </c>
      <c r="AA25" s="101"/>
      <c r="AB25" s="101"/>
    </row>
    <row r="26" spans="1:28" ht="5.0999999999999996" customHeight="1">
      <c r="A26" s="101"/>
      <c r="B26" s="193"/>
      <c r="C26" s="190"/>
      <c r="D26" s="190"/>
      <c r="E26" s="190"/>
      <c r="F26" s="190"/>
      <c r="G26" s="217"/>
      <c r="H26" s="209"/>
      <c r="I26" s="210"/>
      <c r="J26" s="213"/>
      <c r="K26" s="193"/>
      <c r="L26" s="193"/>
      <c r="M26" s="190"/>
      <c r="N26" s="193"/>
      <c r="O26" s="193"/>
      <c r="P26" s="227"/>
      <c r="Q26" s="193"/>
      <c r="R26" s="101"/>
      <c r="S26" s="101"/>
      <c r="T26" s="120"/>
      <c r="U26" s="121"/>
      <c r="V26" s="121"/>
      <c r="W26" s="122"/>
      <c r="X26" s="101"/>
      <c r="Y26" s="123"/>
      <c r="Z26" s="124"/>
      <c r="AA26" s="101"/>
      <c r="AB26" s="101"/>
    </row>
    <row r="27" spans="1:28">
      <c r="A27" s="101"/>
      <c r="B27" s="193"/>
      <c r="C27" s="190"/>
      <c r="D27" s="187" t="s">
        <v>54</v>
      </c>
      <c r="E27" s="188"/>
      <c r="F27" s="188"/>
      <c r="G27" s="111"/>
      <c r="H27" s="214"/>
      <c r="I27" s="204">
        <f>IF(G30=0,0,G27)</f>
        <v>0</v>
      </c>
      <c r="J27" s="215"/>
      <c r="K27" s="193"/>
      <c r="L27" s="193"/>
      <c r="M27" s="291">
        <f>G51</f>
        <v>0</v>
      </c>
      <c r="N27" s="193"/>
      <c r="O27" s="193"/>
      <c r="P27" s="227"/>
      <c r="Q27" s="193"/>
      <c r="R27" s="101"/>
      <c r="S27" s="101"/>
      <c r="T27" s="332" t="str">
        <f ca="1">IF(J29="AFM","/Aan leningdeel 4 is de AFM-toetsrente toegekend","")</f>
        <v/>
      </c>
      <c r="U27" s="333"/>
      <c r="V27" s="333"/>
      <c r="W27" s="334"/>
      <c r="X27" s="101"/>
      <c r="Y27" s="123"/>
      <c r="Z27" s="124"/>
      <c r="AA27" s="101"/>
      <c r="AB27" s="101"/>
    </row>
    <row r="28" spans="1:28">
      <c r="A28" s="101"/>
      <c r="B28" s="193"/>
      <c r="C28" s="190"/>
      <c r="D28" s="189" t="s">
        <v>55</v>
      </c>
      <c r="E28" s="190"/>
      <c r="F28" s="190"/>
      <c r="G28" s="112"/>
      <c r="H28" s="206" t="s">
        <v>38</v>
      </c>
      <c r="I28" s="207">
        <f>IF(H28="mnd",G28,G28*12)</f>
        <v>0</v>
      </c>
      <c r="J28" s="208" t="s">
        <v>38</v>
      </c>
      <c r="K28" s="193"/>
      <c r="L28" s="193"/>
      <c r="M28" s="292"/>
      <c r="N28" s="193"/>
      <c r="O28" s="193"/>
      <c r="P28" s="227"/>
      <c r="Q28" s="193"/>
      <c r="R28" s="101"/>
      <c r="S28" s="101"/>
      <c r="T28" s="341" t="str">
        <f>IF(I28&gt;360,"/ Looptijd leningdeel 4 is langer dan 30 jaar","")</f>
        <v/>
      </c>
      <c r="U28" s="342"/>
      <c r="V28" s="342"/>
      <c r="W28" s="343"/>
      <c r="X28" s="101"/>
      <c r="Y28" s="113">
        <f ca="1">IF(G30&gt;0,IF(AND(I30&lt;120,G27&gt;0,G28&gt;0,$I$8&gt;$V$54),$M$12,G29),0)</f>
        <v>0</v>
      </c>
      <c r="Z28" s="114" t="s">
        <v>40</v>
      </c>
      <c r="AA28" s="101"/>
      <c r="AB28" s="101"/>
    </row>
    <row r="29" spans="1:28">
      <c r="A29" s="101"/>
      <c r="B29" s="193"/>
      <c r="C29" s="190"/>
      <c r="D29" s="189" t="s">
        <v>56</v>
      </c>
      <c r="E29" s="190"/>
      <c r="F29" s="190"/>
      <c r="G29" s="115"/>
      <c r="H29" s="209"/>
      <c r="I29" s="210">
        <f ca="1">IF(G27="",G29,IF(AND($G$8&lt;39173,G30&lt;=60),$M$17,IF(AND($G$8&lt;39173,G30&gt;60),G29,IF(AND($G$8&gt;39172,G30&lt;120),$M$12,G29))))</f>
        <v>0</v>
      </c>
      <c r="J29" s="208" t="str">
        <f ca="1">IF(AND(I29=$M$12,I29&gt;0,$I$8&gt;$V$54),"AFM",IF(AND(I29=$M$17,I29&gt;0,$I$8&lt;$U$55),"NHG",""))</f>
        <v/>
      </c>
      <c r="K29" s="211" t="str">
        <f ca="1">IF(OR($Y$8=TRUE,Y30&gt;0),"perc.GG","" )</f>
        <v/>
      </c>
      <c r="L29" s="193"/>
      <c r="M29" s="190"/>
      <c r="N29" s="193"/>
      <c r="O29" s="193"/>
      <c r="P29" s="227"/>
      <c r="Q29" s="193"/>
      <c r="R29" s="101"/>
      <c r="S29" s="101"/>
      <c r="T29" s="344" t="str">
        <f ca="1">IF(J29="NHG","/Aan leningdeel 4 is de NHG-toetsrente toegekend","")</f>
        <v/>
      </c>
      <c r="U29" s="345"/>
      <c r="V29" s="345"/>
      <c r="W29" s="346"/>
      <c r="X29" s="101"/>
      <c r="Y29" s="116">
        <f ca="1">IF(G30&gt;0,IF(AND(I30&lt;61,G27&gt;0,G28&gt;0,$I$8&lt;$V$54),IF(G29&gt;6%,G29,$M$17),G29),0)</f>
        <v>0</v>
      </c>
      <c r="Z29" s="114" t="s">
        <v>42</v>
      </c>
      <c r="AA29" s="101"/>
      <c r="AB29" s="101"/>
    </row>
    <row r="30" spans="1:28">
      <c r="A30" s="101"/>
      <c r="B30" s="193"/>
      <c r="C30" s="190"/>
      <c r="D30" s="191" t="s">
        <v>43</v>
      </c>
      <c r="E30" s="192"/>
      <c r="F30" s="192"/>
      <c r="G30" s="117"/>
      <c r="H30" s="206" t="s">
        <v>38</v>
      </c>
      <c r="I30" s="201">
        <f>IF(H30="mnd",G30,G30*12)</f>
        <v>0</v>
      </c>
      <c r="J30" s="212" t="s">
        <v>38</v>
      </c>
      <c r="K30" s="193"/>
      <c r="L30" s="193"/>
      <c r="M30" s="240" t="s">
        <v>57</v>
      </c>
      <c r="N30" s="193"/>
      <c r="O30" s="193"/>
      <c r="P30" s="227"/>
      <c r="Q30" s="193"/>
      <c r="R30" s="101"/>
      <c r="S30" s="101"/>
      <c r="T30" s="293" t="str">
        <f>IF(I30&gt;I28,"/ De resterende renstevastperiode van leningdeel 4 is te lang","")</f>
        <v/>
      </c>
      <c r="U30" s="294"/>
      <c r="V30" s="294"/>
      <c r="W30" s="295"/>
      <c r="X30" s="101"/>
      <c r="Y30" s="125">
        <f ca="1">IF(AND(Y10=TRUE,G29&gt;$M$12,G30&lt;120),G29,0)</f>
        <v>0</v>
      </c>
      <c r="Z30" s="119" t="s">
        <v>45</v>
      </c>
      <c r="AA30" s="101"/>
      <c r="AB30" s="101"/>
    </row>
    <row r="31" spans="1:28" ht="5.0999999999999996" customHeight="1">
      <c r="A31" s="101"/>
      <c r="B31" s="193"/>
      <c r="C31" s="190"/>
      <c r="D31" s="190"/>
      <c r="E31" s="190"/>
      <c r="F31" s="190"/>
      <c r="G31" s="217"/>
      <c r="H31" s="209"/>
      <c r="I31" s="210"/>
      <c r="J31" s="213"/>
      <c r="K31" s="193"/>
      <c r="L31" s="193"/>
      <c r="M31" s="190"/>
      <c r="N31" s="193"/>
      <c r="O31" s="193"/>
      <c r="P31" s="227"/>
      <c r="Q31" s="193"/>
      <c r="R31" s="101"/>
      <c r="S31" s="101"/>
      <c r="T31" s="120"/>
      <c r="U31" s="121"/>
      <c r="V31" s="121"/>
      <c r="W31" s="122"/>
      <c r="X31" s="101"/>
      <c r="Y31" s="123"/>
      <c r="Z31" s="124"/>
      <c r="AA31" s="101"/>
      <c r="AB31" s="101"/>
    </row>
    <row r="32" spans="1:28">
      <c r="A32" s="101"/>
      <c r="B32" s="193"/>
      <c r="C32" s="190"/>
      <c r="D32" s="187" t="s">
        <v>58</v>
      </c>
      <c r="E32" s="188"/>
      <c r="F32" s="188"/>
      <c r="G32" s="111"/>
      <c r="H32" s="214"/>
      <c r="I32" s="204">
        <f>IF(G35=0,0,G32)</f>
        <v>0</v>
      </c>
      <c r="J32" s="215"/>
      <c r="K32" s="193"/>
      <c r="L32" s="193"/>
      <c r="M32" s="287">
        <f ca="1">IF(AND(T42="",M27&lt;350001),I37,0)</f>
        <v>0</v>
      </c>
      <c r="N32" s="193"/>
      <c r="O32" s="193"/>
      <c r="P32" s="227"/>
      <c r="Q32" s="193"/>
      <c r="R32" s="101"/>
      <c r="S32" s="101"/>
      <c r="T32" s="332" t="str">
        <f ca="1">IF(J34="AFM","/Aan leningdeel 5 is de AFM-toetsrente toegekend","")</f>
        <v/>
      </c>
      <c r="U32" s="333"/>
      <c r="V32" s="333"/>
      <c r="W32" s="334"/>
      <c r="X32" s="101"/>
      <c r="Y32" s="123"/>
      <c r="Z32" s="124"/>
      <c r="AA32" s="101"/>
      <c r="AB32" s="101"/>
    </row>
    <row r="33" spans="1:28">
      <c r="A33" s="101"/>
      <c r="B33" s="193"/>
      <c r="C33" s="190"/>
      <c r="D33" s="189" t="s">
        <v>59</v>
      </c>
      <c r="E33" s="190"/>
      <c r="F33" s="190"/>
      <c r="G33" s="112"/>
      <c r="H33" s="206" t="s">
        <v>38</v>
      </c>
      <c r="I33" s="207">
        <f>IF(H33="mnd",G33,G33*12)</f>
        <v>0</v>
      </c>
      <c r="J33" s="208" t="s">
        <v>38</v>
      </c>
      <c r="K33" s="193"/>
      <c r="L33" s="193"/>
      <c r="M33" s="288"/>
      <c r="N33" s="193"/>
      <c r="O33" s="193"/>
      <c r="P33" s="227"/>
      <c r="Q33" s="193"/>
      <c r="R33" s="101"/>
      <c r="S33" s="101"/>
      <c r="T33" s="341" t="str">
        <f>IF(I33&gt;360,"/ Looptijd leningdeel 5 is langer dan 30 jaar","")</f>
        <v/>
      </c>
      <c r="U33" s="342"/>
      <c r="V33" s="342"/>
      <c r="W33" s="343"/>
      <c r="X33" s="101"/>
      <c r="Y33" s="113">
        <f ca="1">IF(G35&gt;0,IF(AND(I35&lt;120,G32&gt;0,G33&gt;0,$I$8&gt;$V$54),$M$12,G34),0)</f>
        <v>0</v>
      </c>
      <c r="Z33" s="114" t="s">
        <v>40</v>
      </c>
      <c r="AA33" s="101"/>
      <c r="AB33" s="101"/>
    </row>
    <row r="34" spans="1:28">
      <c r="A34" s="101"/>
      <c r="B34" s="193"/>
      <c r="C34" s="190"/>
      <c r="D34" s="189" t="s">
        <v>60</v>
      </c>
      <c r="E34" s="190"/>
      <c r="F34" s="190"/>
      <c r="G34" s="115"/>
      <c r="H34" s="209"/>
      <c r="I34" s="210">
        <f ca="1">IF(G32="",G34,IF(AND($G$8&lt;39173,G35&lt;=60),$M$17,IF(AND($G$8&lt;39173,G35&gt;60),G34,IF(AND($G$8&gt;39172,G35&lt;120),$M$12,G34))))</f>
        <v>0</v>
      </c>
      <c r="J34" s="208" t="str">
        <f ca="1">IF(AND(I34=$M$12,I34&gt;0,$I$8&gt;$V$54),"AFM",IF(AND(I34=$M$17,I34&gt;0,$I$8&lt;$U$55),"NHG",""))</f>
        <v/>
      </c>
      <c r="K34" s="211" t="str">
        <f ca="1">IF(OR($Y$8=TRUE,Y35&gt;0),"perc.GG","" )</f>
        <v/>
      </c>
      <c r="L34" s="216"/>
      <c r="M34" s="289">
        <f ca="1">M32</f>
        <v>0</v>
      </c>
      <c r="N34" s="216"/>
      <c r="O34" s="193"/>
      <c r="P34" s="227"/>
      <c r="Q34" s="193"/>
      <c r="R34" s="101"/>
      <c r="S34" s="101"/>
      <c r="T34" s="344" t="str">
        <f ca="1">IF(J34="NHG","/Aan leningdeel 5 is de NHG-toetsrente toegekend","")</f>
        <v/>
      </c>
      <c r="U34" s="345"/>
      <c r="V34" s="345"/>
      <c r="W34" s="346"/>
      <c r="X34" s="101"/>
      <c r="Y34" s="116">
        <f ca="1">IF(G35&gt;0,IF(AND(I35&lt;61,G32&gt;0,G33&gt;0,$I$8&lt;$V$54),IF(G34&gt;6%,G34,$M$17),G34),0)</f>
        <v>0</v>
      </c>
      <c r="Z34" s="114" t="s">
        <v>42</v>
      </c>
      <c r="AA34" s="101"/>
      <c r="AB34" s="101"/>
    </row>
    <row r="35" spans="1:28">
      <c r="A35" s="101"/>
      <c r="B35" s="193"/>
      <c r="C35" s="190"/>
      <c r="D35" s="191" t="s">
        <v>43</v>
      </c>
      <c r="E35" s="192"/>
      <c r="F35" s="192"/>
      <c r="G35" s="117"/>
      <c r="H35" s="206" t="s">
        <v>38</v>
      </c>
      <c r="I35" s="201">
        <f>IF(H35="mnd",G35,G35*12)</f>
        <v>0</v>
      </c>
      <c r="J35" s="212" t="s">
        <v>38</v>
      </c>
      <c r="K35" s="193"/>
      <c r="L35" s="216"/>
      <c r="M35" s="348"/>
      <c r="N35" s="216"/>
      <c r="O35" s="193"/>
      <c r="P35" s="227"/>
      <c r="Q35" s="193"/>
      <c r="R35" s="101"/>
      <c r="S35" s="101"/>
      <c r="T35" s="293" t="str">
        <f>IF(I35&gt;I33,"/De resterende rentevastperiode van leningdeel 5 is te lang","")</f>
        <v/>
      </c>
      <c r="U35" s="294"/>
      <c r="V35" s="294"/>
      <c r="W35" s="295"/>
      <c r="X35" s="101"/>
      <c r="Y35" s="125">
        <f ca="1">IF(AND(Y10=TRUE,G34&gt;$M$12,G35&lt;120),G34,0)</f>
        <v>0</v>
      </c>
      <c r="Z35" s="119" t="s">
        <v>45</v>
      </c>
      <c r="AA35" s="101"/>
      <c r="AB35" s="101"/>
    </row>
    <row r="36" spans="1:28" ht="5.0999999999999996" customHeight="1">
      <c r="A36" s="101"/>
      <c r="B36" s="193"/>
      <c r="C36" s="190"/>
      <c r="D36" s="190"/>
      <c r="E36" s="190"/>
      <c r="F36" s="190"/>
      <c r="G36" s="217"/>
      <c r="H36" s="217"/>
      <c r="I36" s="217"/>
      <c r="J36" s="218"/>
      <c r="K36" s="190"/>
      <c r="L36" s="190"/>
      <c r="M36" s="348"/>
      <c r="N36" s="193"/>
      <c r="O36" s="193"/>
      <c r="P36" s="227"/>
      <c r="Q36" s="193"/>
      <c r="R36" s="101"/>
      <c r="S36" s="101"/>
      <c r="T36" s="120"/>
      <c r="U36" s="121"/>
      <c r="V36" s="121"/>
      <c r="W36" s="122"/>
      <c r="X36" s="101"/>
      <c r="Y36" s="101"/>
      <c r="Z36" s="101"/>
      <c r="AA36" s="101"/>
      <c r="AB36" s="101"/>
    </row>
    <row r="37" spans="1:28" ht="12.75" customHeight="1">
      <c r="A37" s="101"/>
      <c r="B37" s="193"/>
      <c r="C37" s="190"/>
      <c r="D37" s="230"/>
      <c r="E37" s="188"/>
      <c r="F37" s="188"/>
      <c r="G37" s="233"/>
      <c r="H37" s="188"/>
      <c r="I37" s="219">
        <f ca="1">IF(G15+G20+G25+G30+G35=0,0,+((I12*I13*I14)+(I17*I18*I19)+(I22*I23*I24)+(I27*I28*I29)+(I32*I33*I34))/((I12*I13)+(I17*I18)+(I22*I23)+(I27*I28)+(I32*I33)))</f>
        <v>0</v>
      </c>
      <c r="J37" s="188"/>
      <c r="K37" s="217"/>
      <c r="L37" s="190"/>
      <c r="M37" s="348"/>
      <c r="N37" s="193"/>
      <c r="O37" s="193"/>
      <c r="P37" s="227"/>
      <c r="Q37" s="193"/>
      <c r="R37" s="101"/>
      <c r="S37" s="101"/>
      <c r="T37" s="335"/>
      <c r="U37" s="336"/>
      <c r="V37" s="336"/>
      <c r="W37" s="337"/>
      <c r="X37" s="101"/>
      <c r="Y37" s="101"/>
      <c r="Z37" s="101"/>
      <c r="AA37" s="101"/>
      <c r="AB37" s="101"/>
    </row>
    <row r="38" spans="1:28" ht="12.75" customHeight="1">
      <c r="A38" s="101"/>
      <c r="B38" s="193"/>
      <c r="C38" s="190"/>
      <c r="D38" s="207" t="s">
        <v>61</v>
      </c>
      <c r="E38" s="190"/>
      <c r="F38" s="190"/>
      <c r="G38" s="190"/>
      <c r="H38" s="190"/>
      <c r="I38" s="220" t="e">
        <f ca="1">+(G12+G17+G22+G27+G32)/I39</f>
        <v>#NUM!</v>
      </c>
      <c r="J38" s="190"/>
      <c r="K38" s="190"/>
      <c r="L38" s="190"/>
      <c r="M38" s="348"/>
      <c r="N38" s="193"/>
      <c r="O38" s="193"/>
      <c r="P38" s="227"/>
      <c r="Q38" s="193"/>
      <c r="R38" s="101"/>
      <c r="S38" s="101"/>
      <c r="T38" s="120"/>
      <c r="U38" s="121"/>
      <c r="V38" s="121"/>
      <c r="W38" s="122"/>
      <c r="X38" s="101"/>
      <c r="Y38" s="101"/>
      <c r="Z38" s="101"/>
      <c r="AA38" s="101"/>
      <c r="AB38" s="101"/>
    </row>
    <row r="39" spans="1:28" ht="12.75" customHeight="1">
      <c r="A39" s="101"/>
      <c r="B39" s="193"/>
      <c r="C39" s="190"/>
      <c r="D39" s="207" t="s">
        <v>62</v>
      </c>
      <c r="E39" s="207"/>
      <c r="F39" s="207"/>
      <c r="G39" s="211"/>
      <c r="H39" s="221"/>
      <c r="I39" s="222" t="e">
        <f ca="1">PMT(I37/12,(I13),(I12+I17+I22+I27+I32))*-1</f>
        <v>#NUM!</v>
      </c>
      <c r="J39" s="190"/>
      <c r="K39" s="190"/>
      <c r="L39" s="190"/>
      <c r="M39" s="348"/>
      <c r="N39" s="193"/>
      <c r="O39" s="193"/>
      <c r="P39" s="227"/>
      <c r="Q39" s="193"/>
      <c r="R39" s="101"/>
      <c r="S39" s="101"/>
      <c r="T39" s="120"/>
      <c r="U39" s="121"/>
      <c r="V39" s="121"/>
      <c r="W39" s="122"/>
      <c r="X39" s="101"/>
      <c r="Y39" s="101"/>
      <c r="Z39" s="101"/>
      <c r="AA39" s="101"/>
      <c r="AB39" s="101"/>
    </row>
    <row r="40" spans="1:28" ht="12.75" customHeight="1">
      <c r="A40" s="101"/>
      <c r="B40" s="193"/>
      <c r="C40" s="190"/>
      <c r="D40" s="207" t="s">
        <v>63</v>
      </c>
      <c r="E40" s="207"/>
      <c r="F40" s="207"/>
      <c r="G40" s="211"/>
      <c r="H40" s="223"/>
      <c r="I40" s="224" t="e">
        <f ca="1">+I39/(I12+I17+I22+I27+I32)</f>
        <v>#NUM!</v>
      </c>
      <c r="J40" s="190"/>
      <c r="K40" s="190"/>
      <c r="L40" s="190"/>
      <c r="M40" s="348"/>
      <c r="N40" s="193"/>
      <c r="O40" s="193"/>
      <c r="P40" s="227"/>
      <c r="Q40" s="193"/>
      <c r="R40" s="101"/>
      <c r="S40" s="101"/>
      <c r="T40" s="120"/>
      <c r="U40" s="121"/>
      <c r="V40" s="121"/>
      <c r="W40" s="122"/>
      <c r="X40" s="101"/>
      <c r="Y40" s="101"/>
      <c r="Z40" s="101"/>
      <c r="AA40" s="101"/>
      <c r="AB40" s="101"/>
    </row>
    <row r="41" spans="1:28" ht="5.0999999999999996" customHeight="1">
      <c r="A41" s="101"/>
      <c r="B41" s="193"/>
      <c r="C41" s="190"/>
      <c r="D41" s="190"/>
      <c r="E41" s="190"/>
      <c r="F41" s="190"/>
      <c r="G41" s="190"/>
      <c r="H41" s="190"/>
      <c r="I41" s="190"/>
      <c r="J41" s="190"/>
      <c r="K41" s="190"/>
      <c r="L41" s="190"/>
      <c r="M41" s="348"/>
      <c r="N41" s="193"/>
      <c r="O41" s="193"/>
      <c r="P41" s="227"/>
      <c r="Q41" s="193"/>
      <c r="R41" s="101"/>
      <c r="S41" s="101"/>
      <c r="T41" s="120"/>
      <c r="U41" s="121"/>
      <c r="V41" s="121"/>
      <c r="W41" s="122"/>
      <c r="X41" s="101"/>
      <c r="Y41" s="101"/>
      <c r="Z41" s="101"/>
      <c r="AA41" s="101"/>
      <c r="AB41" s="101"/>
    </row>
    <row r="42" spans="1:28">
      <c r="A42" s="101"/>
      <c r="B42" s="193"/>
      <c r="C42" s="193"/>
      <c r="D42" s="193"/>
      <c r="E42" s="193"/>
      <c r="F42" s="193"/>
      <c r="G42" s="193"/>
      <c r="H42" s="280"/>
      <c r="I42" s="290" t="str">
        <f ca="1">IF(I43&lt;&gt;"","Melding","")</f>
        <v/>
      </c>
      <c r="J42" s="290"/>
      <c r="K42" s="290"/>
      <c r="L42" s="290"/>
      <c r="M42" s="290"/>
      <c r="N42" s="193"/>
      <c r="O42" s="193"/>
      <c r="P42" s="227"/>
      <c r="Q42" s="193"/>
      <c r="R42" s="101"/>
      <c r="S42" s="101"/>
      <c r="T42" s="332" t="str">
        <f ca="1">IF(AND($I$8&gt;V55,M12=0),"/ De offertedatum ligt na het eerstvolgende herzieningsmoment van de AFM-toetsrente. Het bepalen van de gewogen gemiddelde toetsrente is niet mogelijk","")</f>
        <v/>
      </c>
      <c r="U42" s="333"/>
      <c r="V42" s="333"/>
      <c r="W42" s="334"/>
      <c r="X42" s="127"/>
      <c r="Y42" s="128"/>
      <c r="Z42" s="128"/>
      <c r="AA42" s="129"/>
      <c r="AB42" s="101"/>
    </row>
    <row r="43" spans="1:28" ht="18.75" customHeight="1">
      <c r="A43" s="101"/>
      <c r="B43" s="193"/>
      <c r="C43" s="193"/>
      <c r="D43" s="231" t="str">
        <f>IF(AND(G8="",G53&gt;0,G43&lt;&gt;"ja"),"Klopt uw offertedatum?       ","")</f>
        <v/>
      </c>
      <c r="E43" s="348"/>
      <c r="F43" s="348"/>
      <c r="G43" s="279" t="s">
        <v>64</v>
      </c>
      <c r="H43" s="193"/>
      <c r="I43" s="284" t="str">
        <f ca="1">CONCATENATE(T8,T10,T12,T13,T14,T15,T17,T18,T19,T20,T22,T23,T24,T25,T27,T28,T29,T30,T32,T33,T34,T35,T42,T43,T44,T46)</f>
        <v/>
      </c>
      <c r="J43" s="284"/>
      <c r="K43" s="284"/>
      <c r="L43" s="284"/>
      <c r="M43" s="284"/>
      <c r="N43" s="193"/>
      <c r="O43" s="193"/>
      <c r="P43" s="227"/>
      <c r="Q43" s="193"/>
      <c r="R43" s="101"/>
      <c r="S43" s="101"/>
      <c r="T43" s="341" t="str">
        <f>IF(G43="nee","/De juiste offertedatum is benodigd voor het bepalen van de gemiddelde gewogen toetsrente","")</f>
        <v/>
      </c>
      <c r="U43" s="342"/>
      <c r="V43" s="342"/>
      <c r="W43" s="343"/>
      <c r="X43" s="101"/>
      <c r="Y43" s="101"/>
      <c r="Z43" s="101"/>
      <c r="AA43" s="101"/>
      <c r="AB43" s="101"/>
    </row>
    <row r="44" spans="1:28" ht="117" customHeight="1">
      <c r="A44" s="101"/>
      <c r="B44" s="193"/>
      <c r="C44" s="193"/>
      <c r="D44" s="232" t="s">
        <v>65</v>
      </c>
      <c r="E44" s="218"/>
      <c r="F44" s="218"/>
      <c r="G44" s="193"/>
      <c r="H44" s="279"/>
      <c r="I44" s="285"/>
      <c r="J44" s="285"/>
      <c r="K44" s="285"/>
      <c r="L44" s="285"/>
      <c r="M44" s="285"/>
      <c r="N44" s="193"/>
      <c r="O44" s="193"/>
      <c r="P44" s="234"/>
      <c r="Q44" s="193"/>
      <c r="R44" s="101"/>
      <c r="S44" s="101"/>
      <c r="T44" s="344"/>
      <c r="U44" s="345"/>
      <c r="V44" s="345"/>
      <c r="W44" s="346"/>
      <c r="X44" s="130" t="s">
        <v>66</v>
      </c>
      <c r="Y44" s="131"/>
      <c r="Z44" s="132"/>
      <c r="AA44" s="133"/>
      <c r="AB44" s="101"/>
    </row>
    <row r="45" spans="1:28" ht="4.5" customHeight="1">
      <c r="A45" s="101"/>
      <c r="B45" s="193"/>
      <c r="C45" s="193"/>
      <c r="D45" s="218"/>
      <c r="E45" s="193"/>
      <c r="F45" s="193"/>
      <c r="G45" s="193"/>
      <c r="H45" s="193"/>
      <c r="I45" s="193"/>
      <c r="J45" s="193"/>
      <c r="K45" s="193"/>
      <c r="L45" s="193"/>
      <c r="M45" s="193"/>
      <c r="N45" s="193"/>
      <c r="O45" s="193"/>
      <c r="P45" s="193"/>
      <c r="Q45" s="193"/>
      <c r="R45" s="101"/>
      <c r="S45" s="101"/>
      <c r="T45" s="134"/>
      <c r="U45" s="135"/>
      <c r="V45" s="135"/>
      <c r="W45" s="136"/>
      <c r="X45" s="101"/>
    </row>
    <row r="46" spans="1:28" ht="12" customHeight="1">
      <c r="A46" s="101"/>
      <c r="B46" s="101"/>
      <c r="C46" s="101"/>
      <c r="D46" s="101"/>
      <c r="E46" s="101"/>
      <c r="F46" s="101"/>
      <c r="G46" s="101"/>
      <c r="H46" s="101"/>
      <c r="I46" s="101"/>
      <c r="J46" s="101"/>
      <c r="K46" s="101"/>
      <c r="L46" s="101"/>
      <c r="M46" s="101"/>
      <c r="N46" s="101"/>
      <c r="O46" s="101"/>
      <c r="P46" s="101"/>
      <c r="Q46" s="101"/>
      <c r="R46" s="101"/>
      <c r="S46" s="101"/>
      <c r="T46" s="349" t="str">
        <f ca="1">IF(AND(G12&gt;0,G13&gt;0,G14&gt;0,G15&gt;0,T42="",T43="",T44=""),"/ De gewogen gemiddelde toetsrente dient u in te vullen in het toetsprogramma op het tabblad 'Lening'","")</f>
        <v/>
      </c>
      <c r="U46" s="350"/>
      <c r="V46" s="350"/>
      <c r="W46" s="351"/>
      <c r="X46" s="101"/>
      <c r="Y46" s="101"/>
      <c r="Z46" s="101"/>
      <c r="AA46" s="101"/>
      <c r="AB46" s="101"/>
    </row>
    <row r="47" spans="1:28" ht="15.75">
      <c r="A47" s="101"/>
      <c r="B47" s="101"/>
      <c r="C47" s="101"/>
      <c r="D47" s="101"/>
      <c r="E47" s="101"/>
      <c r="F47" s="101"/>
      <c r="G47" s="101"/>
      <c r="H47" s="101"/>
      <c r="I47" s="101"/>
      <c r="J47" s="101"/>
      <c r="K47" s="101"/>
      <c r="L47" s="137"/>
      <c r="M47" s="101"/>
      <c r="N47" s="101"/>
      <c r="O47" s="101"/>
      <c r="P47" s="101"/>
      <c r="Q47" s="101"/>
      <c r="R47" s="101"/>
      <c r="S47" s="101"/>
      <c r="T47" s="101"/>
      <c r="U47" s="101"/>
      <c r="V47" s="101"/>
      <c r="W47" s="101"/>
      <c r="X47" s="101"/>
      <c r="Y47" s="101"/>
      <c r="Z47" s="101"/>
      <c r="AA47" s="101"/>
      <c r="AB47" s="101"/>
    </row>
    <row r="48" spans="1:28">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row>
    <row r="49" spans="1:28">
      <c r="A49" s="101"/>
      <c r="M49" s="138"/>
      <c r="S49" s="101"/>
      <c r="T49" s="101"/>
      <c r="U49" s="101"/>
      <c r="V49" s="101"/>
      <c r="W49" s="101"/>
      <c r="X49" s="101"/>
      <c r="Y49" s="101"/>
      <c r="Z49" s="101"/>
      <c r="AA49" s="101"/>
      <c r="AB49" s="101"/>
    </row>
    <row r="50" spans="1:28" hidden="1">
      <c r="G50" s="139" t="s">
        <v>67</v>
      </c>
      <c r="I50" s="140" t="s">
        <v>68</v>
      </c>
      <c r="J50" s="141"/>
      <c r="K50" s="141"/>
      <c r="L50" s="141"/>
      <c r="M50" s="142"/>
      <c r="S50" s="101"/>
      <c r="T50" s="101"/>
      <c r="U50" s="101"/>
      <c r="V50" s="101"/>
      <c r="W50" s="101"/>
      <c r="X50" s="101"/>
      <c r="Y50" s="101"/>
      <c r="Z50" s="101"/>
      <c r="AA50" s="101"/>
      <c r="AB50" s="101"/>
    </row>
    <row r="51" spans="1:28" ht="12.75" hidden="1" customHeight="1">
      <c r="G51" s="143">
        <f>G12+G17+G22+G27+G32</f>
        <v>0</v>
      </c>
      <c r="I51" s="144" t="b">
        <f ca="1">OR(J14="AFM",J19="AFM",J24="AFM",J29="AFM",J34="AFM")</f>
        <v>0</v>
      </c>
      <c r="S51" s="140"/>
      <c r="T51" s="145" t="s">
        <v>69</v>
      </c>
      <c r="U51" s="141"/>
      <c r="V51" s="141"/>
      <c r="W51" s="141"/>
      <c r="X51" s="146"/>
    </row>
    <row r="52" spans="1:28" ht="27" hidden="1" customHeight="1">
      <c r="D52" s="147"/>
      <c r="G52" s="148" t="s">
        <v>70</v>
      </c>
      <c r="S52" s="149" t="s">
        <v>71</v>
      </c>
      <c r="T52" s="149" t="s">
        <v>72</v>
      </c>
      <c r="U52" s="149" t="s">
        <v>73</v>
      </c>
      <c r="V52" s="149" t="s">
        <v>74</v>
      </c>
      <c r="W52" s="150" t="s">
        <v>75</v>
      </c>
      <c r="X52" s="149"/>
      <c r="AA52" s="307" t="s">
        <v>76</v>
      </c>
      <c r="AB52" s="308"/>
    </row>
    <row r="53" spans="1:28" hidden="1">
      <c r="G53" s="151">
        <f>SUM(G12:G35)</f>
        <v>0</v>
      </c>
      <c r="S53" s="152">
        <v>2006</v>
      </c>
      <c r="T53" s="152" t="s">
        <v>77</v>
      </c>
      <c r="U53" s="152"/>
      <c r="V53" s="153">
        <v>39082</v>
      </c>
      <c r="W53" s="154">
        <v>0.06</v>
      </c>
      <c r="X53" s="155"/>
      <c r="AA53" s="156" t="s">
        <v>38</v>
      </c>
      <c r="AB53" s="156" t="s">
        <v>64</v>
      </c>
    </row>
    <row r="54" spans="1:28" hidden="1">
      <c r="S54" s="152">
        <v>2007</v>
      </c>
      <c r="T54" s="152" t="s">
        <v>78</v>
      </c>
      <c r="U54" s="153">
        <v>39083</v>
      </c>
      <c r="V54" s="153">
        <v>39172</v>
      </c>
      <c r="W54" s="154">
        <v>0.06</v>
      </c>
      <c r="X54" s="155">
        <f ca="1">IF($I$8&gt;V54,0,W54)</f>
        <v>0</v>
      </c>
      <c r="AA54" s="156" t="s">
        <v>71</v>
      </c>
      <c r="AB54" s="156" t="s">
        <v>79</v>
      </c>
    </row>
    <row r="55" spans="1:28" hidden="1">
      <c r="S55" s="157"/>
      <c r="T55" s="157" t="s">
        <v>80</v>
      </c>
      <c r="U55" s="158">
        <v>39173</v>
      </c>
      <c r="V55" s="159">
        <v>39263</v>
      </c>
      <c r="W55" s="154">
        <v>4.9000000000000002E-2</v>
      </c>
      <c r="X55" s="155">
        <f t="shared" ref="X55:X67" ca="1" si="0">IF(AND($I$8&gt;V54,$I$8&lt;U56),W55,0)</f>
        <v>0</v>
      </c>
    </row>
    <row r="56" spans="1:28" hidden="1">
      <c r="S56" s="157"/>
      <c r="T56" s="157" t="s">
        <v>81</v>
      </c>
      <c r="U56" s="159">
        <v>39264</v>
      </c>
      <c r="V56" s="159">
        <v>39355</v>
      </c>
      <c r="W56" s="154">
        <v>5.2999999999999999E-2</v>
      </c>
      <c r="X56" s="155">
        <f t="shared" ca="1" si="0"/>
        <v>0</v>
      </c>
    </row>
    <row r="57" spans="1:28" hidden="1">
      <c r="S57" s="160"/>
      <c r="T57" s="160" t="s">
        <v>77</v>
      </c>
      <c r="U57" s="161">
        <v>39356</v>
      </c>
      <c r="V57" s="161">
        <v>39447</v>
      </c>
      <c r="W57" s="154">
        <v>5.2999999999999999E-2</v>
      </c>
      <c r="X57" s="155">
        <f t="shared" ca="1" si="0"/>
        <v>0</v>
      </c>
    </row>
    <row r="58" spans="1:28" hidden="1">
      <c r="S58" s="152">
        <v>2008</v>
      </c>
      <c r="T58" s="152" t="s">
        <v>78</v>
      </c>
      <c r="U58" s="153">
        <v>39448</v>
      </c>
      <c r="V58" s="153">
        <v>39538</v>
      </c>
      <c r="W58" s="154">
        <v>5.2999999999999999E-2</v>
      </c>
      <c r="X58" s="155">
        <f t="shared" ca="1" si="0"/>
        <v>0</v>
      </c>
    </row>
    <row r="59" spans="1:28" hidden="1">
      <c r="S59" s="157"/>
      <c r="T59" s="157" t="s">
        <v>80</v>
      </c>
      <c r="U59" s="159">
        <v>39539</v>
      </c>
      <c r="V59" s="159">
        <v>39629</v>
      </c>
      <c r="W59" s="154">
        <v>5.2999999999999999E-2</v>
      </c>
      <c r="X59" s="155">
        <f t="shared" ca="1" si="0"/>
        <v>0</v>
      </c>
    </row>
    <row r="60" spans="1:28" hidden="1">
      <c r="S60" s="157"/>
      <c r="T60" s="157" t="s">
        <v>81</v>
      </c>
      <c r="U60" s="159">
        <v>39630</v>
      </c>
      <c r="V60" s="159">
        <v>39721</v>
      </c>
      <c r="W60" s="154">
        <v>5.6000000000000001E-2</v>
      </c>
      <c r="X60" s="155">
        <f t="shared" ca="1" si="0"/>
        <v>0</v>
      </c>
    </row>
    <row r="61" spans="1:28" hidden="1">
      <c r="S61" s="160"/>
      <c r="T61" s="160" t="s">
        <v>77</v>
      </c>
      <c r="U61" s="161">
        <v>39722</v>
      </c>
      <c r="V61" s="161">
        <v>39813</v>
      </c>
      <c r="W61" s="154">
        <v>5.6000000000000001E-2</v>
      </c>
      <c r="X61" s="155">
        <f t="shared" ca="1" si="0"/>
        <v>0</v>
      </c>
    </row>
    <row r="62" spans="1:28" hidden="1">
      <c r="S62" s="152">
        <v>2009</v>
      </c>
      <c r="T62" s="152" t="s">
        <v>78</v>
      </c>
      <c r="U62" s="153">
        <v>39814</v>
      </c>
      <c r="V62" s="153">
        <v>39903</v>
      </c>
      <c r="W62" s="154">
        <v>5.6000000000000001E-2</v>
      </c>
      <c r="X62" s="155">
        <f t="shared" ca="1" si="0"/>
        <v>0</v>
      </c>
    </row>
    <row r="63" spans="1:28" hidden="1">
      <c r="D63" s="103" t="s">
        <v>82</v>
      </c>
      <c r="S63" s="157"/>
      <c r="T63" s="157" t="s">
        <v>80</v>
      </c>
      <c r="U63" s="159">
        <v>39904</v>
      </c>
      <c r="V63" s="159">
        <v>39994</v>
      </c>
      <c r="W63" s="154">
        <v>5.6000000000000001E-2</v>
      </c>
      <c r="X63" s="155">
        <f t="shared" ca="1" si="0"/>
        <v>0</v>
      </c>
    </row>
    <row r="64" spans="1:28" hidden="1">
      <c r="D64" s="103" t="s">
        <v>83</v>
      </c>
      <c r="S64" s="157"/>
      <c r="T64" s="157" t="s">
        <v>81</v>
      </c>
      <c r="U64" s="159">
        <v>39995</v>
      </c>
      <c r="V64" s="159">
        <v>40086</v>
      </c>
      <c r="W64" s="154">
        <v>5.8000000000000003E-2</v>
      </c>
      <c r="X64" s="155">
        <f t="shared" ca="1" si="0"/>
        <v>0</v>
      </c>
    </row>
    <row r="65" spans="4:24" hidden="1">
      <c r="D65" s="103" t="s">
        <v>84</v>
      </c>
      <c r="S65" s="157"/>
      <c r="T65" s="160" t="s">
        <v>77</v>
      </c>
      <c r="U65" s="159">
        <v>40087</v>
      </c>
      <c r="V65" s="159">
        <v>40178</v>
      </c>
      <c r="W65" s="154">
        <v>5.8000000000000003E-2</v>
      </c>
      <c r="X65" s="155">
        <f t="shared" ca="1" si="0"/>
        <v>0</v>
      </c>
    </row>
    <row r="66" spans="4:24" hidden="1">
      <c r="D66" s="103" t="s">
        <v>85</v>
      </c>
      <c r="S66" s="152">
        <v>2010</v>
      </c>
      <c r="T66" s="162" t="s">
        <v>78</v>
      </c>
      <c r="U66" s="163">
        <v>40179</v>
      </c>
      <c r="V66" s="153">
        <v>40268</v>
      </c>
      <c r="W66" s="164">
        <v>5.8000000000000003E-2</v>
      </c>
      <c r="X66" s="155">
        <f t="shared" ca="1" si="0"/>
        <v>0</v>
      </c>
    </row>
    <row r="67" spans="4:24" hidden="1">
      <c r="S67" s="157"/>
      <c r="T67" s="107" t="s">
        <v>80</v>
      </c>
      <c r="U67" s="165">
        <v>40269</v>
      </c>
      <c r="V67" s="159">
        <v>40359</v>
      </c>
      <c r="W67" s="164">
        <v>5.8000000000000003E-2</v>
      </c>
      <c r="X67" s="155">
        <f t="shared" ca="1" si="0"/>
        <v>0</v>
      </c>
    </row>
    <row r="68" spans="4:24" hidden="1">
      <c r="D68" s="103" t="str">
        <f>IF(AND(G8&lt;39173,G15&lt;60),"NHGtoetsrente",IF(AND(G8&lt;39173,G15&gt;59),"daadwerlkelijke rente",IF(AND(G8&gt;39172,G15&lt;120),"AFM","werkelijke rente")))</f>
        <v>NHGtoetsrente</v>
      </c>
      <c r="S68" s="157"/>
      <c r="T68" s="107" t="s">
        <v>81</v>
      </c>
      <c r="U68" s="165">
        <v>40360</v>
      </c>
      <c r="V68" s="159">
        <v>40451</v>
      </c>
      <c r="W68" s="164">
        <v>5.3999999999999999E-2</v>
      </c>
      <c r="X68" s="155">
        <f t="shared" ref="X68:X88" ca="1" si="1">IF(AND($I$8&gt;V67,$I$8&lt;U69),W68,0)</f>
        <v>0</v>
      </c>
    </row>
    <row r="69" spans="4:24" hidden="1">
      <c r="S69" s="160"/>
      <c r="T69" s="166" t="s">
        <v>77</v>
      </c>
      <c r="U69" s="167">
        <v>40452</v>
      </c>
      <c r="V69" s="161">
        <v>40543</v>
      </c>
      <c r="W69" s="168">
        <v>4.9000000000000002E-2</v>
      </c>
      <c r="X69" s="155">
        <f t="shared" ca="1" si="1"/>
        <v>0</v>
      </c>
    </row>
    <row r="70" spans="4:24" hidden="1">
      <c r="S70" s="152">
        <v>2011</v>
      </c>
      <c r="T70" s="152" t="s">
        <v>78</v>
      </c>
      <c r="U70" s="153">
        <v>40544</v>
      </c>
      <c r="V70" s="153">
        <v>40633</v>
      </c>
      <c r="W70" s="168">
        <v>5.1999999999999998E-2</v>
      </c>
      <c r="X70" s="155">
        <f t="shared" ca="1" si="1"/>
        <v>0</v>
      </c>
    </row>
    <row r="71" spans="4:24" hidden="1">
      <c r="S71" s="157"/>
      <c r="T71" s="157" t="s">
        <v>80</v>
      </c>
      <c r="U71" s="159">
        <v>40634</v>
      </c>
      <c r="V71" s="159">
        <v>40724</v>
      </c>
      <c r="W71" s="168">
        <v>5.8000000000000003E-2</v>
      </c>
      <c r="X71" s="155">
        <f t="shared" ca="1" si="1"/>
        <v>0</v>
      </c>
    </row>
    <row r="72" spans="4:24" hidden="1">
      <c r="S72" s="157"/>
      <c r="T72" s="157" t="s">
        <v>81</v>
      </c>
      <c r="U72" s="159">
        <v>40725</v>
      </c>
      <c r="V72" s="159">
        <v>40816</v>
      </c>
      <c r="W72" s="168">
        <v>5.7000000000000002E-2</v>
      </c>
      <c r="X72" s="155">
        <f t="shared" ca="1" si="1"/>
        <v>0</v>
      </c>
    </row>
    <row r="73" spans="4:24" hidden="1">
      <c r="S73" s="160"/>
      <c r="T73" s="160" t="s">
        <v>77</v>
      </c>
      <c r="U73" s="161">
        <v>40817</v>
      </c>
      <c r="V73" s="161">
        <v>40908</v>
      </c>
      <c r="W73" s="168">
        <v>5.3999999999999999E-2</v>
      </c>
      <c r="X73" s="155">
        <f t="shared" ca="1" si="1"/>
        <v>0</v>
      </c>
    </row>
    <row r="74" spans="4:24" hidden="1">
      <c r="S74" s="152">
        <v>2012</v>
      </c>
      <c r="T74" s="152" t="s">
        <v>78</v>
      </c>
      <c r="U74" s="153">
        <v>40909</v>
      </c>
      <c r="V74" s="153">
        <v>40999</v>
      </c>
      <c r="W74" s="168">
        <v>5.6000000000000001E-2</v>
      </c>
      <c r="X74" s="155">
        <f t="shared" ca="1" si="1"/>
        <v>0</v>
      </c>
    </row>
    <row r="75" spans="4:24" hidden="1">
      <c r="S75" s="157"/>
      <c r="T75" s="157" t="s">
        <v>80</v>
      </c>
      <c r="U75" s="159">
        <v>41000</v>
      </c>
      <c r="V75" s="159">
        <v>41090</v>
      </c>
      <c r="W75" s="168">
        <v>5.6000000000000001E-2</v>
      </c>
      <c r="X75" s="155">
        <f t="shared" ca="1" si="1"/>
        <v>0</v>
      </c>
    </row>
    <row r="76" spans="4:24" hidden="1">
      <c r="S76" s="157"/>
      <c r="T76" s="157" t="s">
        <v>81</v>
      </c>
      <c r="U76" s="159">
        <v>41091</v>
      </c>
      <c r="V76" s="159">
        <v>41182</v>
      </c>
      <c r="W76" s="168">
        <v>5.3999999999999999E-2</v>
      </c>
      <c r="X76" s="155">
        <f t="shared" ca="1" si="1"/>
        <v>0</v>
      </c>
    </row>
    <row r="77" spans="4:24" hidden="1">
      <c r="S77" s="160"/>
      <c r="T77" s="160" t="s">
        <v>77</v>
      </c>
      <c r="U77" s="161">
        <v>41183</v>
      </c>
      <c r="V77" s="161">
        <v>41274</v>
      </c>
      <c r="W77" s="168">
        <v>5.3999999999999999E-2</v>
      </c>
      <c r="X77" s="155">
        <f t="shared" ca="1" si="1"/>
        <v>0</v>
      </c>
    </row>
    <row r="78" spans="4:24" hidden="1">
      <c r="S78" s="152">
        <v>2013</v>
      </c>
      <c r="T78" s="152" t="s">
        <v>78</v>
      </c>
      <c r="U78" s="153">
        <v>41275</v>
      </c>
      <c r="V78" s="153">
        <v>41364</v>
      </c>
      <c r="W78" s="168">
        <v>5.2999999999999999E-2</v>
      </c>
      <c r="X78" s="155">
        <f t="shared" ca="1" si="1"/>
        <v>0</v>
      </c>
    </row>
    <row r="79" spans="4:24" hidden="1">
      <c r="S79" s="157"/>
      <c r="T79" s="157" t="s">
        <v>80</v>
      </c>
      <c r="U79" s="159">
        <v>41365</v>
      </c>
      <c r="V79" s="159">
        <v>41455</v>
      </c>
      <c r="W79" s="168">
        <v>5.2999999999999999E-2</v>
      </c>
      <c r="X79" s="155">
        <f t="shared" ca="1" si="1"/>
        <v>0</v>
      </c>
    </row>
    <row r="80" spans="4:24" hidden="1">
      <c r="S80" s="157"/>
      <c r="T80" s="157" t="s">
        <v>81</v>
      </c>
      <c r="U80" s="159">
        <v>41456</v>
      </c>
      <c r="V80" s="159">
        <v>41547</v>
      </c>
      <c r="W80" s="168">
        <v>0.05</v>
      </c>
      <c r="X80" s="155">
        <f t="shared" ca="1" si="1"/>
        <v>0</v>
      </c>
    </row>
    <row r="81" spans="19:24" hidden="1">
      <c r="S81" s="160"/>
      <c r="T81" s="160" t="s">
        <v>77</v>
      </c>
      <c r="U81" s="161">
        <v>41548</v>
      </c>
      <c r="V81" s="161">
        <v>41639</v>
      </c>
      <c r="W81" s="168">
        <v>0.05</v>
      </c>
      <c r="X81" s="155">
        <f t="shared" ca="1" si="1"/>
        <v>0</v>
      </c>
    </row>
    <row r="82" spans="19:24" hidden="1">
      <c r="S82" s="152">
        <v>2014</v>
      </c>
      <c r="T82" s="152" t="s">
        <v>78</v>
      </c>
      <c r="U82" s="153">
        <v>41640</v>
      </c>
      <c r="V82" s="153">
        <v>41729</v>
      </c>
      <c r="W82" s="168">
        <v>0.05</v>
      </c>
      <c r="X82" s="155">
        <f ca="1">IF(AND($I$8&gt;V81,$I$8&lt;U83),W82,0)</f>
        <v>0</v>
      </c>
    </row>
    <row r="83" spans="19:24" hidden="1">
      <c r="S83" s="157"/>
      <c r="T83" s="157" t="s">
        <v>80</v>
      </c>
      <c r="U83" s="169">
        <v>41730</v>
      </c>
      <c r="V83" s="159">
        <v>41820</v>
      </c>
      <c r="W83" s="168">
        <v>0.05</v>
      </c>
      <c r="X83" s="155">
        <f ca="1">IF(AND($I$8&gt;V82,$I$8&lt;U84),W83,0)</f>
        <v>0</v>
      </c>
    </row>
    <row r="84" spans="19:24" hidden="1">
      <c r="S84" s="157"/>
      <c r="T84" s="157" t="s">
        <v>81</v>
      </c>
      <c r="U84" s="159">
        <v>41821</v>
      </c>
      <c r="V84" s="159">
        <v>41912</v>
      </c>
      <c r="W84" s="168">
        <v>0.05</v>
      </c>
      <c r="X84" s="155">
        <f t="shared" ca="1" si="1"/>
        <v>0</v>
      </c>
    </row>
    <row r="85" spans="19:24" hidden="1">
      <c r="S85" s="160"/>
      <c r="T85" s="160" t="s">
        <v>77</v>
      </c>
      <c r="U85" s="161">
        <v>41913</v>
      </c>
      <c r="V85" s="161">
        <v>42004</v>
      </c>
      <c r="W85" s="168">
        <v>0.05</v>
      </c>
      <c r="X85" s="155">
        <f t="shared" ca="1" si="1"/>
        <v>0</v>
      </c>
    </row>
    <row r="86" spans="19:24" hidden="1">
      <c r="S86" s="152">
        <v>2015</v>
      </c>
      <c r="T86" s="152" t="s">
        <v>78</v>
      </c>
      <c r="U86" s="153">
        <v>42005</v>
      </c>
      <c r="V86" s="153">
        <v>42094</v>
      </c>
      <c r="W86" s="168">
        <v>0.05</v>
      </c>
      <c r="X86" s="155">
        <f t="shared" ca="1" si="1"/>
        <v>0</v>
      </c>
    </row>
    <row r="87" spans="19:24" hidden="1">
      <c r="S87" s="157"/>
      <c r="T87" s="157" t="s">
        <v>80</v>
      </c>
      <c r="U87" s="159">
        <v>42095</v>
      </c>
      <c r="V87" s="159">
        <v>42185</v>
      </c>
      <c r="W87" s="168">
        <v>0.05</v>
      </c>
      <c r="X87" s="155">
        <f t="shared" ca="1" si="1"/>
        <v>0</v>
      </c>
    </row>
    <row r="88" spans="19:24" hidden="1">
      <c r="S88" s="157"/>
      <c r="T88" s="157" t="s">
        <v>81</v>
      </c>
      <c r="U88" s="159">
        <v>42186</v>
      </c>
      <c r="V88" s="159">
        <v>42277</v>
      </c>
      <c r="W88" s="168">
        <v>0.05</v>
      </c>
      <c r="X88" s="155">
        <f t="shared" ca="1" si="1"/>
        <v>0</v>
      </c>
    </row>
    <row r="89" spans="19:24" hidden="1">
      <c r="S89" s="160"/>
      <c r="T89" s="160" t="s">
        <v>77</v>
      </c>
      <c r="U89" s="161">
        <v>42278</v>
      </c>
      <c r="V89" s="161">
        <v>42369</v>
      </c>
      <c r="W89" s="168">
        <v>0.05</v>
      </c>
      <c r="X89" s="155">
        <f ca="1">IF(AND($I$8&gt;V88,$I$8&lt;U90),W89,0)</f>
        <v>0</v>
      </c>
    </row>
    <row r="90" spans="19:24" hidden="1">
      <c r="S90" s="152">
        <v>2016</v>
      </c>
      <c r="T90" s="152" t="s">
        <v>78</v>
      </c>
      <c r="U90" s="153">
        <v>42370</v>
      </c>
      <c r="V90" s="153">
        <v>42460</v>
      </c>
      <c r="W90" s="168">
        <v>0.05</v>
      </c>
      <c r="X90" s="155">
        <f ca="1">IF(AND($I$8&gt;V89,$I$8&lt;U91),W90,0)</f>
        <v>0</v>
      </c>
    </row>
    <row r="91" spans="19:24" hidden="1">
      <c r="S91" s="157"/>
      <c r="T91" s="157" t="s">
        <v>80</v>
      </c>
      <c r="U91" s="159">
        <v>42461</v>
      </c>
      <c r="V91" s="159">
        <v>42551</v>
      </c>
      <c r="W91" s="168">
        <v>0.05</v>
      </c>
      <c r="X91" s="155">
        <f ca="1">IF(AND($I$8&gt;V90,$I$8&lt;U92),W91,0)</f>
        <v>0</v>
      </c>
    </row>
    <row r="92" spans="19:24" hidden="1">
      <c r="S92" s="157"/>
      <c r="T92" s="157" t="s">
        <v>81</v>
      </c>
      <c r="U92" s="159">
        <v>42552</v>
      </c>
      <c r="V92" s="159">
        <v>42643</v>
      </c>
      <c r="W92" s="168">
        <v>0.05</v>
      </c>
      <c r="X92" s="155">
        <f ca="1">IF(AND($I$8&gt;V91,$I$8&lt;U93),W92,0)</f>
        <v>0</v>
      </c>
    </row>
    <row r="93" spans="19:24" hidden="1">
      <c r="S93" s="160"/>
      <c r="T93" s="160" t="s">
        <v>77</v>
      </c>
      <c r="U93" s="161">
        <v>42644</v>
      </c>
      <c r="V93" s="161">
        <v>42735</v>
      </c>
      <c r="W93" s="168">
        <v>0.05</v>
      </c>
      <c r="X93" s="155">
        <f t="shared" ref="X93:X121" ca="1" si="2">IF(AND($I$8&gt;V92,$I$8&lt;U94),W93,0)</f>
        <v>0</v>
      </c>
    </row>
    <row r="94" spans="19:24" hidden="1">
      <c r="S94" s="152">
        <v>2017</v>
      </c>
      <c r="T94" s="152" t="s">
        <v>78</v>
      </c>
      <c r="U94" s="153">
        <v>42736</v>
      </c>
      <c r="V94" s="153">
        <v>42825</v>
      </c>
      <c r="W94" s="168">
        <v>0.05</v>
      </c>
      <c r="X94" s="155">
        <f t="shared" ca="1" si="2"/>
        <v>0</v>
      </c>
    </row>
    <row r="95" spans="19:24" hidden="1">
      <c r="S95" s="157"/>
      <c r="T95" s="157" t="s">
        <v>80</v>
      </c>
      <c r="U95" s="159">
        <v>42826</v>
      </c>
      <c r="V95" s="159">
        <v>42916</v>
      </c>
      <c r="W95" s="168">
        <v>0.05</v>
      </c>
      <c r="X95" s="155">
        <f t="shared" ca="1" si="2"/>
        <v>0</v>
      </c>
    </row>
    <row r="96" spans="19:24" hidden="1">
      <c r="S96" s="157"/>
      <c r="T96" s="157" t="s">
        <v>81</v>
      </c>
      <c r="U96" s="159">
        <v>42917</v>
      </c>
      <c r="V96" s="159">
        <v>43008</v>
      </c>
      <c r="W96" s="168">
        <v>0.05</v>
      </c>
      <c r="X96" s="155">
        <f t="shared" ca="1" si="2"/>
        <v>0</v>
      </c>
    </row>
    <row r="97" spans="19:24" hidden="1">
      <c r="S97" s="160"/>
      <c r="T97" s="160" t="s">
        <v>77</v>
      </c>
      <c r="U97" s="161">
        <v>43009</v>
      </c>
      <c r="V97" s="161">
        <v>43100</v>
      </c>
      <c r="W97" s="168">
        <v>0.05</v>
      </c>
      <c r="X97" s="155">
        <f t="shared" ca="1" si="2"/>
        <v>0</v>
      </c>
    </row>
    <row r="98" spans="19:24" hidden="1">
      <c r="S98" s="282">
        <v>2018</v>
      </c>
      <c r="T98" s="152" t="s">
        <v>78</v>
      </c>
      <c r="U98" s="153">
        <v>43101</v>
      </c>
      <c r="V98" s="153">
        <v>43190</v>
      </c>
      <c r="W98" s="168">
        <v>0.05</v>
      </c>
      <c r="X98" s="155">
        <f t="shared" ca="1" si="2"/>
        <v>0</v>
      </c>
    </row>
    <row r="99" spans="19:24" hidden="1">
      <c r="S99" s="283"/>
      <c r="T99" s="157" t="s">
        <v>80</v>
      </c>
      <c r="U99" s="159">
        <v>43191</v>
      </c>
      <c r="V99" s="159">
        <v>43281</v>
      </c>
      <c r="W99" s="168">
        <v>0.05</v>
      </c>
      <c r="X99" s="155">
        <f t="shared" ca="1" si="2"/>
        <v>0</v>
      </c>
    </row>
    <row r="100" spans="19:24" hidden="1">
      <c r="S100" s="283"/>
      <c r="T100" s="157" t="s">
        <v>81</v>
      </c>
      <c r="U100" s="159">
        <v>43282</v>
      </c>
      <c r="V100" s="159">
        <v>43373</v>
      </c>
      <c r="W100" s="168">
        <v>0.05</v>
      </c>
      <c r="X100" s="155">
        <f t="shared" ca="1" si="2"/>
        <v>0</v>
      </c>
    </row>
    <row r="101" spans="19:24" hidden="1">
      <c r="S101" s="283"/>
      <c r="T101" s="160" t="s">
        <v>77</v>
      </c>
      <c r="U101" s="161">
        <v>43374</v>
      </c>
      <c r="V101" s="161">
        <v>43465</v>
      </c>
      <c r="W101" s="168">
        <v>0.05</v>
      </c>
      <c r="X101" s="155">
        <f t="shared" ca="1" si="2"/>
        <v>0</v>
      </c>
    </row>
    <row r="102" spans="19:24" hidden="1">
      <c r="S102" s="282">
        <v>2019</v>
      </c>
      <c r="T102" s="152" t="s">
        <v>78</v>
      </c>
      <c r="U102" s="153">
        <v>43466</v>
      </c>
      <c r="V102" s="153">
        <v>43555</v>
      </c>
      <c r="W102" s="168">
        <v>0.05</v>
      </c>
      <c r="X102" s="155">
        <f t="shared" ca="1" si="2"/>
        <v>0</v>
      </c>
    </row>
    <row r="103" spans="19:24" hidden="1">
      <c r="S103" s="283"/>
      <c r="T103" s="157" t="s">
        <v>80</v>
      </c>
      <c r="U103" s="159">
        <v>43556</v>
      </c>
      <c r="V103" s="159">
        <v>43646</v>
      </c>
      <c r="W103" s="168">
        <v>0.05</v>
      </c>
      <c r="X103" s="155">
        <f t="shared" ca="1" si="2"/>
        <v>0</v>
      </c>
    </row>
    <row r="104" spans="19:24" hidden="1">
      <c r="S104" s="283"/>
      <c r="T104" s="157" t="s">
        <v>81</v>
      </c>
      <c r="U104" s="159">
        <v>43647</v>
      </c>
      <c r="V104" s="159">
        <v>43738</v>
      </c>
      <c r="W104" s="168">
        <v>0.05</v>
      </c>
      <c r="X104" s="155">
        <f t="shared" ca="1" si="2"/>
        <v>0</v>
      </c>
    </row>
    <row r="105" spans="19:24" hidden="1">
      <c r="S105" s="283"/>
      <c r="T105" s="160" t="s">
        <v>77</v>
      </c>
      <c r="U105" s="161">
        <v>43739</v>
      </c>
      <c r="V105" s="161">
        <v>43830</v>
      </c>
      <c r="W105" s="168">
        <v>0.05</v>
      </c>
      <c r="X105" s="155">
        <f t="shared" ca="1" si="2"/>
        <v>0</v>
      </c>
    </row>
    <row r="106" spans="19:24" hidden="1">
      <c r="S106" s="282">
        <v>2020</v>
      </c>
      <c r="T106" s="152" t="s">
        <v>78</v>
      </c>
      <c r="U106" s="153">
        <v>43831</v>
      </c>
      <c r="V106" s="153">
        <v>43921</v>
      </c>
      <c r="W106" s="168">
        <v>0.05</v>
      </c>
      <c r="X106" s="155">
        <f t="shared" ca="1" si="2"/>
        <v>0</v>
      </c>
    </row>
    <row r="107" spans="19:24" hidden="1">
      <c r="S107" s="283"/>
      <c r="T107" s="157" t="s">
        <v>80</v>
      </c>
      <c r="U107" s="159">
        <v>43922</v>
      </c>
      <c r="V107" s="159">
        <v>44012</v>
      </c>
      <c r="W107" s="168">
        <v>0.05</v>
      </c>
      <c r="X107" s="155">
        <f t="shared" ca="1" si="2"/>
        <v>0</v>
      </c>
    </row>
    <row r="108" spans="19:24" hidden="1">
      <c r="S108" s="283"/>
      <c r="T108" s="157" t="s">
        <v>81</v>
      </c>
      <c r="U108" s="159">
        <v>44013</v>
      </c>
      <c r="V108" s="159">
        <v>44104</v>
      </c>
      <c r="W108" s="168">
        <v>0.05</v>
      </c>
      <c r="X108" s="155">
        <f t="shared" ca="1" si="2"/>
        <v>0</v>
      </c>
    </row>
    <row r="109" spans="19:24" hidden="1">
      <c r="S109" s="283"/>
      <c r="T109" s="160" t="s">
        <v>77</v>
      </c>
      <c r="U109" s="161">
        <v>44105</v>
      </c>
      <c r="V109" s="161">
        <v>44196</v>
      </c>
      <c r="W109" s="168">
        <v>0.05</v>
      </c>
      <c r="X109" s="155">
        <f t="shared" ca="1" si="2"/>
        <v>0</v>
      </c>
    </row>
    <row r="110" spans="19:24" hidden="1">
      <c r="S110" s="282">
        <v>2021</v>
      </c>
      <c r="T110" s="152" t="s">
        <v>78</v>
      </c>
      <c r="U110" s="153">
        <v>44197</v>
      </c>
      <c r="V110" s="153">
        <v>44286</v>
      </c>
      <c r="W110" s="168">
        <v>0.05</v>
      </c>
      <c r="X110" s="155">
        <f t="shared" ca="1" si="2"/>
        <v>0</v>
      </c>
    </row>
    <row r="111" spans="19:24" hidden="1">
      <c r="S111" s="283"/>
      <c r="T111" s="157" t="s">
        <v>80</v>
      </c>
      <c r="U111" s="159">
        <v>44287</v>
      </c>
      <c r="V111" s="159">
        <v>44377</v>
      </c>
      <c r="W111" s="168">
        <v>0.05</v>
      </c>
      <c r="X111" s="155">
        <f t="shared" ca="1" si="2"/>
        <v>0</v>
      </c>
    </row>
    <row r="112" spans="19:24" hidden="1">
      <c r="S112" s="283"/>
      <c r="T112" s="157" t="s">
        <v>81</v>
      </c>
      <c r="U112" s="159">
        <v>44378</v>
      </c>
      <c r="V112" s="159">
        <v>44469</v>
      </c>
      <c r="W112" s="168">
        <v>0.05</v>
      </c>
      <c r="X112" s="155">
        <f t="shared" ca="1" si="2"/>
        <v>0</v>
      </c>
    </row>
    <row r="113" spans="19:24" hidden="1">
      <c r="S113" s="283"/>
      <c r="T113" s="160" t="s">
        <v>77</v>
      </c>
      <c r="U113" s="161">
        <v>44470</v>
      </c>
      <c r="V113" s="161">
        <v>44561</v>
      </c>
      <c r="W113" s="168">
        <v>0.05</v>
      </c>
      <c r="X113" s="155">
        <f t="shared" ca="1" si="2"/>
        <v>0.05</v>
      </c>
    </row>
    <row r="114" spans="19:24" hidden="1">
      <c r="S114" s="282">
        <v>2022</v>
      </c>
      <c r="T114" s="152" t="s">
        <v>78</v>
      </c>
      <c r="U114" s="153">
        <v>44562</v>
      </c>
      <c r="V114" s="153">
        <v>44651</v>
      </c>
      <c r="W114" s="168">
        <v>0.05</v>
      </c>
      <c r="X114" s="155">
        <f t="shared" ca="1" si="2"/>
        <v>0</v>
      </c>
    </row>
    <row r="115" spans="19:24" hidden="1">
      <c r="S115" s="283"/>
      <c r="T115" s="157" t="s">
        <v>80</v>
      </c>
      <c r="U115" s="159">
        <v>44652</v>
      </c>
      <c r="V115" s="159">
        <v>44742</v>
      </c>
      <c r="W115" s="168">
        <v>0.05</v>
      </c>
      <c r="X115" s="155">
        <f t="shared" ca="1" si="2"/>
        <v>0</v>
      </c>
    </row>
    <row r="116" spans="19:24" hidden="1">
      <c r="S116" s="283"/>
      <c r="T116" s="157" t="s">
        <v>81</v>
      </c>
      <c r="U116" s="159">
        <v>44743</v>
      </c>
      <c r="V116" s="159">
        <v>44834</v>
      </c>
      <c r="W116" s="168">
        <v>0.05</v>
      </c>
      <c r="X116" s="155">
        <f t="shared" ca="1" si="2"/>
        <v>0</v>
      </c>
    </row>
    <row r="117" spans="19:24" hidden="1">
      <c r="S117" s="283"/>
      <c r="T117" s="160" t="s">
        <v>77</v>
      </c>
      <c r="U117" s="161">
        <v>44835</v>
      </c>
      <c r="V117" s="161">
        <v>44926</v>
      </c>
      <c r="W117" s="168">
        <v>0.05</v>
      </c>
      <c r="X117" s="155">
        <f t="shared" ca="1" si="2"/>
        <v>0</v>
      </c>
    </row>
    <row r="118" spans="19:24" hidden="1">
      <c r="S118" s="282">
        <v>2023</v>
      </c>
      <c r="T118" s="152" t="s">
        <v>78</v>
      </c>
      <c r="U118" s="153">
        <v>44927</v>
      </c>
      <c r="V118" s="153">
        <v>45016</v>
      </c>
      <c r="W118" s="168">
        <v>0.05</v>
      </c>
      <c r="X118" s="155">
        <f t="shared" ca="1" si="2"/>
        <v>0</v>
      </c>
    </row>
    <row r="119" spans="19:24" hidden="1">
      <c r="S119" s="283"/>
      <c r="T119" s="157" t="s">
        <v>80</v>
      </c>
      <c r="U119" s="159">
        <v>45017</v>
      </c>
      <c r="V119" s="159">
        <v>45107</v>
      </c>
      <c r="W119" s="168">
        <v>0.05</v>
      </c>
      <c r="X119" s="155">
        <f t="shared" ca="1" si="2"/>
        <v>0</v>
      </c>
    </row>
    <row r="120" spans="19:24" hidden="1">
      <c r="S120" s="283"/>
      <c r="T120" s="157" t="s">
        <v>81</v>
      </c>
      <c r="U120" s="159">
        <v>45108</v>
      </c>
      <c r="V120" s="159">
        <v>45199</v>
      </c>
      <c r="W120" s="168">
        <v>0.05</v>
      </c>
      <c r="X120" s="155">
        <f t="shared" ca="1" si="2"/>
        <v>0</v>
      </c>
    </row>
    <row r="121" spans="19:24" hidden="1">
      <c r="S121" s="283"/>
      <c r="T121" s="160" t="s">
        <v>77</v>
      </c>
      <c r="U121" s="161">
        <v>45200</v>
      </c>
      <c r="V121" s="161">
        <v>45291</v>
      </c>
      <c r="W121" s="168">
        <v>0.05</v>
      </c>
      <c r="X121" s="155">
        <f t="shared" ca="1" si="2"/>
        <v>0</v>
      </c>
    </row>
    <row r="122" spans="19:24" hidden="1">
      <c r="S122" s="140"/>
      <c r="T122" s="141" t="s">
        <v>86</v>
      </c>
      <c r="U122" s="141"/>
      <c r="V122" s="170"/>
      <c r="W122" s="170"/>
      <c r="X122" s="281">
        <f ca="1">SUM(X54:X121)</f>
        <v>0.05</v>
      </c>
    </row>
    <row r="123" spans="19:24" hidden="1">
      <c r="U123" s="171"/>
      <c r="V123" s="172" t="s">
        <v>87</v>
      </c>
      <c r="W123" s="173"/>
      <c r="X123" s="174"/>
    </row>
    <row r="124" spans="19:24" hidden="1">
      <c r="U124" s="175"/>
      <c r="V124" s="176" t="s">
        <v>88</v>
      </c>
      <c r="W124" s="128"/>
      <c r="X124" s="129"/>
    </row>
    <row r="125" spans="19:24" hidden="1">
      <c r="U125" s="177"/>
      <c r="V125" s="176" t="s">
        <v>89</v>
      </c>
      <c r="W125" s="128"/>
      <c r="X125" s="129"/>
    </row>
    <row r="126" spans="19:24" hidden="1">
      <c r="U126" s="178"/>
      <c r="V126" s="352" t="s">
        <v>90</v>
      </c>
      <c r="W126" s="353"/>
      <c r="X126" s="354"/>
    </row>
    <row r="127" spans="19:24" hidden="1">
      <c r="U127" s="101"/>
      <c r="V127" s="101"/>
      <c r="W127" s="101"/>
      <c r="X127" s="101"/>
    </row>
    <row r="128" spans="19:24" hidden="1">
      <c r="U128" s="101"/>
      <c r="V128" s="101"/>
      <c r="W128" s="101"/>
      <c r="X128" s="101"/>
    </row>
    <row r="129" spans="19:24" hidden="1">
      <c r="U129" s="101"/>
      <c r="V129" s="101"/>
      <c r="W129" s="101"/>
      <c r="X129" s="101"/>
    </row>
    <row r="130" spans="19:24" hidden="1">
      <c r="U130" s="101"/>
      <c r="V130" s="101"/>
      <c r="W130" s="101"/>
      <c r="X130" s="101"/>
    </row>
    <row r="131" spans="19:24" hidden="1">
      <c r="U131" s="101"/>
      <c r="V131" s="101"/>
      <c r="W131" s="101"/>
      <c r="X131" s="101"/>
    </row>
    <row r="132" spans="19:24" hidden="1">
      <c r="U132" s="101"/>
      <c r="V132" s="101"/>
      <c r="W132" s="101"/>
      <c r="X132" s="101"/>
    </row>
    <row r="133" spans="19:24" hidden="1"/>
    <row r="134" spans="19:24" hidden="1">
      <c r="S134" s="179" t="s">
        <v>91</v>
      </c>
      <c r="T134" s="180"/>
    </row>
    <row r="135" spans="19:24" hidden="1">
      <c r="S135" s="181"/>
      <c r="T135" s="182"/>
    </row>
    <row r="136" spans="19:24" hidden="1">
      <c r="S136" s="156" t="s">
        <v>92</v>
      </c>
      <c r="T136" s="156">
        <f>I13</f>
        <v>0</v>
      </c>
    </row>
    <row r="137" spans="19:24" hidden="1">
      <c r="S137" s="156" t="s">
        <v>93</v>
      </c>
      <c r="T137" s="156">
        <f>I18</f>
        <v>0</v>
      </c>
    </row>
    <row r="138" spans="19:24" hidden="1">
      <c r="S138" s="156" t="s">
        <v>94</v>
      </c>
      <c r="T138" s="156">
        <f>I23</f>
        <v>0</v>
      </c>
    </row>
    <row r="139" spans="19:24" hidden="1">
      <c r="S139" s="156" t="s">
        <v>95</v>
      </c>
      <c r="T139" s="156">
        <f>I28</f>
        <v>0</v>
      </c>
    </row>
    <row r="140" spans="19:24" hidden="1">
      <c r="S140" s="156" t="s">
        <v>96</v>
      </c>
      <c r="T140" s="156">
        <f>I33</f>
        <v>0</v>
      </c>
    </row>
    <row r="141" spans="19:24" hidden="1">
      <c r="S141" s="183" t="s">
        <v>97</v>
      </c>
      <c r="T141" s="183">
        <f>LARGE(T136:T140,1)</f>
        <v>0</v>
      </c>
    </row>
    <row r="142" spans="19:24" hidden="1">
      <c r="S142" s="101"/>
      <c r="T142" s="101"/>
    </row>
    <row r="143" spans="19:24" hidden="1">
      <c r="S143" s="140" t="s">
        <v>62</v>
      </c>
      <c r="T143" s="146"/>
    </row>
    <row r="144" spans="19:24" hidden="1">
      <c r="S144" s="184" t="e">
        <f ca="1">PMT(I37/12,(T141),(I12+I17+I22+I27+I32))*-1</f>
        <v>#NUM!</v>
      </c>
      <c r="T144" s="185"/>
    </row>
    <row r="145" spans="19:20" hidden="1">
      <c r="S145" s="101"/>
      <c r="T145" s="101"/>
    </row>
    <row r="146" spans="19:20" hidden="1">
      <c r="S146" s="140" t="s">
        <v>98</v>
      </c>
      <c r="T146" s="146"/>
    </row>
    <row r="147" spans="19:20" hidden="1">
      <c r="S147" s="186" t="e">
        <f ca="1">+S144/(I12+I17+I22+I27+I32)</f>
        <v>#NUM!</v>
      </c>
      <c r="T147" s="185"/>
    </row>
    <row r="148" spans="19:20" hidden="1">
      <c r="S148" s="101"/>
      <c r="T148" s="101"/>
    </row>
    <row r="149" spans="19:20" hidden="1">
      <c r="S149" s="140" t="s">
        <v>99</v>
      </c>
      <c r="T149" s="146"/>
    </row>
    <row r="150" spans="19:20" hidden="1">
      <c r="S150" s="186" t="e">
        <f ca="1">(I12+I17+I22+I27+I32)/S144</f>
        <v>#NUM!</v>
      </c>
      <c r="T150" s="185"/>
    </row>
    <row r="151" spans="19:20" hidden="1"/>
    <row r="152" spans="19:20" hidden="1"/>
    <row r="153" spans="19:20" hidden="1"/>
    <row r="154" spans="19:20" hidden="1"/>
    <row r="155" spans="19:20" hidden="1"/>
    <row r="156" spans="19:20" hidden="1"/>
    <row r="157" spans="19:20" hidden="1"/>
    <row r="158" spans="19:20" hidden="1"/>
    <row r="159" spans="19:20" hidden="1"/>
    <row r="160" spans="19:2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sheetData>
  <sheetProtection algorithmName="SHA-512" hashValue="d6kkhR2xIopKBYXk7VV/tXd+UBQ88olepgK7INmRAm1CHcuKkDi/zWO7klFm+TbB46hqBZcsDdfY2rtPB/BltQ==" saltValue="rn9aUDThyunW3f8N6fB7DA==" spinCount="100000" sheet="1" selectLockedCells="1"/>
  <customSheetViews>
    <customSheetView guid="{14D89E1E-FF60-4AD6-979E-2920D45410EF}" showRowCol="0" hiddenRows="1" hiddenColumns="1" showRuler="0">
      <selection activeCell="G11" sqref="G11"/>
      <pageMargins left="0" right="0" top="0" bottom="0" header="0" footer="0"/>
      <pageSetup paperSize="9" orientation="landscape" r:id="rId1"/>
      <headerFooter alignWithMargins="0"/>
    </customSheetView>
  </customSheetViews>
  <mergeCells count="48">
    <mergeCell ref="V126:X126"/>
    <mergeCell ref="T24:W24"/>
    <mergeCell ref="T27:W27"/>
    <mergeCell ref="T33:W33"/>
    <mergeCell ref="T34:W34"/>
    <mergeCell ref="T32:W32"/>
    <mergeCell ref="T30:W30"/>
    <mergeCell ref="T29:W29"/>
    <mergeCell ref="AA52:AB52"/>
    <mergeCell ref="T35:W35"/>
    <mergeCell ref="T44:W44"/>
    <mergeCell ref="T37:W37"/>
    <mergeCell ref="T46:W46"/>
    <mergeCell ref="G6:I6"/>
    <mergeCell ref="T15:W15"/>
    <mergeCell ref="T28:W28"/>
    <mergeCell ref="M22:M23"/>
    <mergeCell ref="T13:W13"/>
    <mergeCell ref="M12:M13"/>
    <mergeCell ref="Y12:Z12"/>
    <mergeCell ref="T6:W6"/>
    <mergeCell ref="T8:W8"/>
    <mergeCell ref="T9:W9"/>
    <mergeCell ref="T10:W10"/>
    <mergeCell ref="T12:W12"/>
    <mergeCell ref="E43:F43"/>
    <mergeCell ref="T19:W19"/>
    <mergeCell ref="T22:W22"/>
    <mergeCell ref="M32:M33"/>
    <mergeCell ref="T42:W42"/>
    <mergeCell ref="M34:M41"/>
    <mergeCell ref="I42:M42"/>
    <mergeCell ref="M27:M28"/>
    <mergeCell ref="T43:W43"/>
    <mergeCell ref="T25:W25"/>
    <mergeCell ref="T20:W20"/>
    <mergeCell ref="S98:S101"/>
    <mergeCell ref="S102:S105"/>
    <mergeCell ref="S118:S121"/>
    <mergeCell ref="I43:M44"/>
    <mergeCell ref="T14:W14"/>
    <mergeCell ref="T18:W18"/>
    <mergeCell ref="M17:M18"/>
    <mergeCell ref="T23:W23"/>
    <mergeCell ref="T17:W17"/>
    <mergeCell ref="S106:S109"/>
    <mergeCell ref="S110:S113"/>
    <mergeCell ref="S114:S117"/>
  </mergeCells>
  <phoneticPr fontId="2" type="noConversion"/>
  <conditionalFormatting sqref="I16 I21 I26 I31 I36:I37">
    <cfRule type="cellIs" dxfId="67" priority="21" stopIfTrue="1" operator="equal">
      <formula>0</formula>
    </cfRule>
  </conditionalFormatting>
  <conditionalFormatting sqref="H42">
    <cfRule type="cellIs" dxfId="66" priority="22" stopIfTrue="1" operator="notEqual">
      <formula>""</formula>
    </cfRule>
  </conditionalFormatting>
  <conditionalFormatting sqref="H44">
    <cfRule type="cellIs" dxfId="65" priority="23" stopIfTrue="1" operator="notEqual">
      <formula>""</formula>
    </cfRule>
  </conditionalFormatting>
  <conditionalFormatting sqref="I12:I15 I17:I20 I22:I25 I27:I30 I32:I35">
    <cfRule type="cellIs" dxfId="64" priority="24" stopIfTrue="1" operator="equal">
      <formula>0</formula>
    </cfRule>
  </conditionalFormatting>
  <conditionalFormatting sqref="M32:M33">
    <cfRule type="expression" dxfId="63" priority="20" stopIfTrue="1">
      <formula>$I$8&gt;42185</formula>
    </cfRule>
    <cfRule type="cellIs" dxfId="62" priority="25" stopIfTrue="1" operator="equal">
      <formula>0</formula>
    </cfRule>
    <cfRule type="expression" dxfId="61" priority="26" stopIfTrue="1">
      <formula>ISERROR($M$32)</formula>
    </cfRule>
  </conditionalFormatting>
  <conditionalFormatting sqref="M22:M23">
    <cfRule type="cellIs" dxfId="60" priority="27" stopIfTrue="1" operator="equal">
      <formula>0</formula>
    </cfRule>
    <cfRule type="expression" dxfId="59" priority="28" stopIfTrue="1">
      <formula>ISERROR($M$22)</formula>
    </cfRule>
  </conditionalFormatting>
  <conditionalFormatting sqref="I8">
    <cfRule type="cellIs" dxfId="58" priority="29" stopIfTrue="1" operator="notEqual">
      <formula>$G$8</formula>
    </cfRule>
  </conditionalFormatting>
  <conditionalFormatting sqref="J14 J19 J24 J29 J34">
    <cfRule type="cellIs" dxfId="57" priority="30" stopIfTrue="1" operator="equal">
      <formula>"CHF"</formula>
    </cfRule>
    <cfRule type="cellIs" dxfId="56" priority="31" stopIfTrue="1" operator="equal">
      <formula>"NHG"</formula>
    </cfRule>
  </conditionalFormatting>
  <conditionalFormatting sqref="M27:M28">
    <cfRule type="cellIs" dxfId="55" priority="32" stopIfTrue="1" operator="between">
      <formula>0</formula>
      <formula>265000</formula>
    </cfRule>
    <cfRule type="cellIs" dxfId="54" priority="33" stopIfTrue="1" operator="greaterThan">
      <formula>264999.99</formula>
    </cfRule>
  </conditionalFormatting>
  <conditionalFormatting sqref="M34:M41">
    <cfRule type="cellIs" dxfId="53" priority="34" stopIfTrue="1" operator="greaterThan">
      <formula>0</formula>
    </cfRule>
  </conditionalFormatting>
  <conditionalFormatting sqref="I42:M42">
    <cfRule type="cellIs" dxfId="52" priority="35" stopIfTrue="1" operator="notEqual">
      <formula>""</formula>
    </cfRule>
    <cfRule type="expression" dxfId="51" priority="36" stopIfTrue="1">
      <formula>"ISFOUT($I$42)"</formula>
    </cfRule>
  </conditionalFormatting>
  <conditionalFormatting sqref="I43:M44">
    <cfRule type="cellIs" dxfId="50" priority="37" stopIfTrue="1" operator="notEqual">
      <formula>""</formula>
    </cfRule>
  </conditionalFormatting>
  <conditionalFormatting sqref="D43">
    <cfRule type="cellIs" dxfId="49" priority="38" stopIfTrue="1" operator="notEqual">
      <formula>""</formula>
    </cfRule>
  </conditionalFormatting>
  <conditionalFormatting sqref="G43">
    <cfRule type="cellIs" dxfId="48" priority="39" stopIfTrue="1" operator="equal">
      <formula>"ja"</formula>
    </cfRule>
    <cfRule type="cellIs" dxfId="47" priority="40" stopIfTrue="1" operator="equal">
      <formula>"nee"</formula>
    </cfRule>
    <cfRule type="cellIs" dxfId="46" priority="41" stopIfTrue="1" operator="notEqual">
      <formula>$D$43</formula>
    </cfRule>
  </conditionalFormatting>
  <conditionalFormatting sqref="X55:X121">
    <cfRule type="cellIs" dxfId="45" priority="42" stopIfTrue="1" operator="greaterThan">
      <formula>0</formula>
    </cfRule>
  </conditionalFormatting>
  <conditionalFormatting sqref="X53:X54">
    <cfRule type="cellIs" dxfId="44" priority="43" stopIfTrue="1" operator="greaterThan">
      <formula>0</formula>
    </cfRule>
  </conditionalFormatting>
  <conditionalFormatting sqref="K14">
    <cfRule type="expression" dxfId="43" priority="44" stopIfTrue="1">
      <formula>$G$14&gt;0</formula>
    </cfRule>
  </conditionalFormatting>
  <conditionalFormatting sqref="K19">
    <cfRule type="expression" dxfId="42" priority="45" stopIfTrue="1">
      <formula>$G$19&gt;0</formula>
    </cfRule>
  </conditionalFormatting>
  <conditionalFormatting sqref="K24">
    <cfRule type="expression" dxfId="41" priority="46" stopIfTrue="1">
      <formula>$G$24&gt;0</formula>
    </cfRule>
  </conditionalFormatting>
  <conditionalFormatting sqref="K29">
    <cfRule type="expression" dxfId="40" priority="47" stopIfTrue="1">
      <formula>$G$29&gt;0</formula>
    </cfRule>
  </conditionalFormatting>
  <conditionalFormatting sqref="K34">
    <cfRule type="expression" dxfId="39" priority="48" stopIfTrue="1">
      <formula>$G$34&gt;0</formula>
    </cfRule>
  </conditionalFormatting>
  <conditionalFormatting sqref="I14">
    <cfRule type="expression" dxfId="38" priority="19" stopIfTrue="1">
      <formula>$I$8&gt;42185</formula>
    </cfRule>
  </conditionalFormatting>
  <conditionalFormatting sqref="I19">
    <cfRule type="expression" dxfId="37" priority="18" stopIfTrue="1">
      <formula>$I$8&gt;42185</formula>
    </cfRule>
  </conditionalFormatting>
  <conditionalFormatting sqref="I19">
    <cfRule type="expression" dxfId="36" priority="17" stopIfTrue="1">
      <formula>$I$8&gt;42185</formula>
    </cfRule>
  </conditionalFormatting>
  <conditionalFormatting sqref="I24">
    <cfRule type="expression" dxfId="35" priority="16" stopIfTrue="1">
      <formula>$I$8&gt;42185</formula>
    </cfRule>
  </conditionalFormatting>
  <conditionalFormatting sqref="I29">
    <cfRule type="expression" dxfId="34" priority="15" stopIfTrue="1">
      <formula>$I$8&gt;42185</formula>
    </cfRule>
  </conditionalFormatting>
  <conditionalFormatting sqref="I34">
    <cfRule type="expression" dxfId="33" priority="14" stopIfTrue="1">
      <formula>$I$8&gt;42185</formula>
    </cfRule>
  </conditionalFormatting>
  <conditionalFormatting sqref="I19">
    <cfRule type="expression" dxfId="32" priority="13" stopIfTrue="1">
      <formula>$I$8&gt;42185</formula>
    </cfRule>
  </conditionalFormatting>
  <conditionalFormatting sqref="I24">
    <cfRule type="expression" dxfId="31" priority="12" stopIfTrue="1">
      <formula>$I$8&gt;42185</formula>
    </cfRule>
  </conditionalFormatting>
  <conditionalFormatting sqref="I29">
    <cfRule type="expression" dxfId="30" priority="11" stopIfTrue="1">
      <formula>$I$8&gt;42185</formula>
    </cfRule>
  </conditionalFormatting>
  <conditionalFormatting sqref="I34">
    <cfRule type="expression" dxfId="29" priority="10" stopIfTrue="1">
      <formula>$I$8&gt;42185</formula>
    </cfRule>
  </conditionalFormatting>
  <conditionalFormatting sqref="M12:M13">
    <cfRule type="expression" dxfId="28" priority="9" stopIfTrue="1">
      <formula>$I$8&gt;42185</formula>
    </cfRule>
  </conditionalFormatting>
  <conditionalFormatting sqref="G14">
    <cfRule type="expression" dxfId="27" priority="8" stopIfTrue="1">
      <formula>$I$8&gt;42185</formula>
    </cfRule>
  </conditionalFormatting>
  <conditionalFormatting sqref="G19">
    <cfRule type="expression" dxfId="26" priority="7" stopIfTrue="1">
      <formula>$I$8&gt;42185</formula>
    </cfRule>
  </conditionalFormatting>
  <conditionalFormatting sqref="G24">
    <cfRule type="expression" dxfId="25" priority="6" stopIfTrue="1">
      <formula>$I$8&gt;42185</formula>
    </cfRule>
  </conditionalFormatting>
  <conditionalFormatting sqref="G29">
    <cfRule type="expression" dxfId="24" priority="5" stopIfTrue="1">
      <formula>$I$8&gt;42185</formula>
    </cfRule>
  </conditionalFormatting>
  <conditionalFormatting sqref="G34">
    <cfRule type="expression" dxfId="23" priority="4" stopIfTrue="1">
      <formula>$I$8&gt;42185</formula>
    </cfRule>
  </conditionalFormatting>
  <dataValidations count="2">
    <dataValidation type="list" allowBlank="1" showInputMessage="1" showErrorMessage="1" sqref="G43" xr:uid="{00000000-0002-0000-0100-000000000000}">
      <formula1>$AB$53:$AB$54</formula1>
    </dataValidation>
    <dataValidation type="list" allowBlank="1" showInputMessage="1" showErrorMessage="1" sqref="H13 H35 H33 H30 H28 H25 H23 H20 H18 H15" xr:uid="{00000000-0002-0000-0100-000001000000}">
      <formula1>$AA$53:$AA$54</formula1>
    </dataValidation>
  </dataValidations>
  <pageMargins left="0.75" right="0.75" top="1" bottom="1" header="0.5" footer="0.5"/>
  <pageSetup paperSize="9" scale="76"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6"/>
  <sheetViews>
    <sheetView showRowColHeaders="0" workbookViewId="0">
      <selection activeCell="C7" sqref="C7:D44"/>
    </sheetView>
  </sheetViews>
  <sheetFormatPr defaultColWidth="0" defaultRowHeight="12.75" customHeight="1" zeroHeight="1"/>
  <cols>
    <col min="1" max="1" width="2.85546875" customWidth="1"/>
    <col min="2" max="2" width="13.28515625" customWidth="1"/>
    <col min="3" max="3" width="0.7109375" customWidth="1"/>
    <col min="4" max="4" width="54.85546875" customWidth="1"/>
    <col min="5" max="5" width="1.140625" customWidth="1"/>
    <col min="6" max="6" width="1.5703125" customWidth="1"/>
    <col min="7" max="7" width="14.7109375" customWidth="1"/>
    <col min="8" max="8" width="4.28515625" customWidth="1"/>
    <col min="9" max="9" width="14.28515625" customWidth="1"/>
    <col min="10" max="10" width="4.42578125" customWidth="1"/>
    <col min="11" max="11" width="8.140625" customWidth="1"/>
    <col min="12" max="12" width="6.140625" customWidth="1"/>
    <col min="13" max="13" width="16.42578125" customWidth="1"/>
    <col min="14" max="14" width="2.5703125" customWidth="1"/>
    <col min="15" max="15" width="0.7109375" customWidth="1"/>
    <col min="16" max="16" width="7.5703125" customWidth="1"/>
    <col min="17" max="17" width="0.85546875" customWidth="1"/>
    <col min="18" max="18" width="2.7109375" customWidth="1"/>
    <col min="19" max="19" width="15.42578125" hidden="1" customWidth="1"/>
    <col min="20" max="21" width="9.140625" hidden="1" customWidth="1"/>
    <col min="22" max="22" width="11.140625" hidden="1" customWidth="1"/>
    <col min="23" max="23" width="9.140625" hidden="1" customWidth="1"/>
    <col min="24" max="24" width="12" hidden="1" customWidth="1"/>
    <col min="25" max="25" width="10.7109375" hidden="1" customWidth="1"/>
    <col min="26" max="16384" width="9.140625" hidden="1"/>
  </cols>
  <sheetData>
    <row r="1" spans="1:28" ht="13.5" customHeight="1">
      <c r="A1" s="13"/>
      <c r="B1" s="13"/>
      <c r="C1" s="13"/>
      <c r="D1" s="91"/>
      <c r="E1" s="13"/>
      <c r="F1" s="13"/>
      <c r="G1" s="13"/>
      <c r="H1" s="13"/>
      <c r="I1" s="13"/>
      <c r="J1" s="13"/>
      <c r="K1" s="13"/>
      <c r="L1" s="13"/>
      <c r="M1" s="13"/>
      <c r="N1" s="13"/>
      <c r="O1" s="13"/>
      <c r="P1" s="13"/>
      <c r="Q1" s="13"/>
      <c r="R1" s="13"/>
      <c r="S1" s="13"/>
      <c r="T1" s="13"/>
      <c r="U1" s="13"/>
      <c r="V1" s="13"/>
      <c r="W1" s="13"/>
      <c r="X1" s="13"/>
      <c r="Y1" s="13"/>
      <c r="Z1" s="13"/>
      <c r="AA1" s="13"/>
      <c r="AB1" s="13"/>
    </row>
    <row r="2" spans="1:28" ht="3.7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row>
    <row r="3" spans="1:28" ht="69" customHeight="1">
      <c r="A3" s="13"/>
      <c r="B3" s="311"/>
      <c r="C3" s="311"/>
      <c r="D3" s="311"/>
      <c r="E3" s="311"/>
      <c r="F3" s="311"/>
      <c r="G3" s="311"/>
      <c r="H3" s="311"/>
      <c r="I3" s="311"/>
      <c r="J3" s="311"/>
      <c r="K3" s="311"/>
      <c r="L3" s="311"/>
      <c r="M3" s="311"/>
      <c r="N3" s="311"/>
      <c r="O3" s="311"/>
      <c r="P3" s="311"/>
      <c r="Q3" s="13"/>
      <c r="R3" s="13"/>
      <c r="S3" s="13"/>
      <c r="T3" s="13"/>
      <c r="U3" s="13"/>
      <c r="V3" s="13"/>
      <c r="W3" s="13"/>
      <c r="X3" s="13"/>
      <c r="Y3" s="13"/>
      <c r="Z3" s="13"/>
      <c r="AA3" s="13"/>
      <c r="AB3" s="13"/>
    </row>
    <row r="4" spans="1:28">
      <c r="A4" s="13"/>
      <c r="B4" s="13"/>
      <c r="C4" s="13"/>
      <c r="D4" s="13"/>
      <c r="E4" s="13"/>
      <c r="F4" s="13"/>
      <c r="G4" s="13"/>
      <c r="H4" s="13"/>
      <c r="I4" s="13"/>
      <c r="J4" s="13"/>
      <c r="K4" s="13"/>
      <c r="L4" s="13"/>
      <c r="M4" s="13"/>
      <c r="N4" s="13"/>
      <c r="O4" s="13"/>
      <c r="P4" s="13"/>
      <c r="Q4" s="13"/>
      <c r="R4" s="13"/>
      <c r="S4" s="13"/>
      <c r="T4" s="44"/>
      <c r="U4" s="13" t="s">
        <v>26</v>
      </c>
      <c r="V4" s="13"/>
      <c r="W4" s="13"/>
      <c r="X4" s="13"/>
      <c r="Y4" s="13"/>
      <c r="Z4" s="13"/>
      <c r="AA4" s="13"/>
      <c r="AB4" s="13"/>
    </row>
    <row r="5" spans="1:28" ht="4.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12.75" customHeight="1">
      <c r="A6" s="13"/>
      <c r="B6" s="13"/>
      <c r="C6" s="13"/>
      <c r="D6" s="241" t="s">
        <v>27</v>
      </c>
      <c r="E6" s="242"/>
      <c r="F6" s="242"/>
      <c r="G6" s="312" t="str">
        <f>IF(Rekenmodel!G6="","",Rekenmodel!G6)</f>
        <v/>
      </c>
      <c r="H6" s="313"/>
      <c r="I6" s="314"/>
      <c r="J6" s="242"/>
      <c r="K6" s="242"/>
      <c r="L6" s="242"/>
      <c r="M6" s="242"/>
      <c r="N6" s="242"/>
      <c r="O6" s="92"/>
      <c r="P6" s="13"/>
      <c r="Q6" s="13"/>
      <c r="R6" s="13"/>
      <c r="S6" s="13"/>
      <c r="T6" s="315" t="s">
        <v>28</v>
      </c>
      <c r="U6" s="316"/>
      <c r="V6" s="316"/>
      <c r="W6" s="317"/>
      <c r="X6" s="13"/>
      <c r="Y6" s="13"/>
      <c r="Z6" s="13"/>
      <c r="AA6" s="13"/>
      <c r="AB6" s="13"/>
    </row>
    <row r="7" spans="1:28" ht="4.5" customHeight="1">
      <c r="A7" s="13"/>
      <c r="B7" s="13"/>
      <c r="C7" s="93"/>
      <c r="D7" s="243"/>
      <c r="E7" s="243"/>
      <c r="F7" s="243"/>
      <c r="G7" s="243"/>
      <c r="H7" s="243"/>
      <c r="I7" s="243"/>
      <c r="J7" s="243"/>
      <c r="K7" s="243"/>
      <c r="L7" s="243"/>
      <c r="M7" s="243"/>
      <c r="N7" s="243"/>
      <c r="O7" s="13"/>
      <c r="P7" s="13"/>
      <c r="Q7" s="13"/>
      <c r="R7" s="13"/>
      <c r="S7" s="13"/>
      <c r="T7" s="22"/>
      <c r="U7" s="15"/>
      <c r="V7" s="15"/>
      <c r="W7" s="23"/>
      <c r="X7" s="13"/>
      <c r="Y7" s="13"/>
      <c r="Z7" s="13"/>
      <c r="AA7" s="13"/>
      <c r="AB7" s="13"/>
    </row>
    <row r="8" spans="1:28" ht="13.15">
      <c r="A8" s="13"/>
      <c r="B8" s="13"/>
      <c r="C8" s="93"/>
      <c r="D8" s="244" t="s">
        <v>29</v>
      </c>
      <c r="E8" s="243"/>
      <c r="F8" s="243"/>
      <c r="G8" s="245" t="str">
        <f>IF(Rekenmodel!G8="","",Rekenmodel!G8)</f>
        <v/>
      </c>
      <c r="H8" s="245"/>
      <c r="I8" s="246">
        <f ca="1">IF(Rekenmodel!G8="",NOW(),G8)</f>
        <v>44497.515531944446</v>
      </c>
      <c r="J8" s="243"/>
      <c r="K8" s="243"/>
      <c r="L8" s="243"/>
      <c r="M8" s="243"/>
      <c r="N8" s="243"/>
      <c r="O8" s="13"/>
      <c r="P8" s="13"/>
      <c r="Q8" s="13"/>
      <c r="R8" s="13"/>
      <c r="S8" s="13"/>
      <c r="T8" s="355" t="str">
        <f ca="1">IF(I8&lt;U55,"De offertedatum ligt voor invoering CHF-toetrente","" )</f>
        <v/>
      </c>
      <c r="U8" s="356"/>
      <c r="V8" s="356"/>
      <c r="W8" s="357"/>
      <c r="X8" s="13"/>
      <c r="Y8" s="79" t="b">
        <v>0</v>
      </c>
      <c r="Z8" s="13"/>
      <c r="AA8" s="13"/>
      <c r="AB8" s="13"/>
    </row>
    <row r="9" spans="1:28" ht="21.75" customHeight="1">
      <c r="A9" s="13"/>
      <c r="B9" s="13"/>
      <c r="C9" s="93"/>
      <c r="D9" s="247" t="s">
        <v>100</v>
      </c>
      <c r="E9" s="243"/>
      <c r="F9" s="243"/>
      <c r="G9" s="269"/>
      <c r="H9" s="269"/>
      <c r="I9" s="269"/>
      <c r="J9" s="243"/>
      <c r="K9" s="243"/>
      <c r="L9" s="243"/>
      <c r="M9" s="243"/>
      <c r="N9" s="243"/>
      <c r="O9" s="13"/>
      <c r="P9" s="13"/>
      <c r="Q9" s="13"/>
      <c r="R9" s="13"/>
      <c r="S9" s="13"/>
      <c r="T9" s="358"/>
      <c r="U9" s="359"/>
      <c r="V9" s="359"/>
      <c r="W9" s="360"/>
      <c r="X9" s="13"/>
      <c r="Y9" s="13"/>
      <c r="Z9" s="13"/>
      <c r="AA9" s="13"/>
      <c r="AB9" s="13"/>
    </row>
    <row r="10" spans="1:28" ht="12.75" customHeight="1">
      <c r="A10" s="13"/>
      <c r="B10" s="13"/>
      <c r="C10" s="93"/>
      <c r="D10" s="248" t="s">
        <v>30</v>
      </c>
      <c r="E10" s="249"/>
      <c r="F10" s="249"/>
      <c r="G10" s="250" t="s">
        <v>31</v>
      </c>
      <c r="H10" s="250"/>
      <c r="I10" s="250" t="s">
        <v>32</v>
      </c>
      <c r="J10" s="249"/>
      <c r="K10" s="243"/>
      <c r="L10" s="243"/>
      <c r="M10" s="251" t="s">
        <v>101</v>
      </c>
      <c r="N10" s="243"/>
      <c r="O10" s="13"/>
      <c r="P10" s="13"/>
      <c r="Q10" s="13"/>
      <c r="R10" s="13"/>
      <c r="S10" s="13"/>
      <c r="T10" s="361" t="str">
        <f>IF(Y8=TRUE,"I.v.m berekening t.b.v. ontslag uit de hoofdelijke aansprakelijkheid, wordt er getoetst op basis van werkelijke rente","")</f>
        <v/>
      </c>
      <c r="U10" s="362"/>
      <c r="V10" s="362"/>
      <c r="W10" s="363"/>
      <c r="X10" s="13"/>
      <c r="Y10" s="79" t="b">
        <v>1</v>
      </c>
      <c r="Z10" s="13" t="s">
        <v>102</v>
      </c>
      <c r="AA10" s="13"/>
      <c r="AB10" s="13"/>
    </row>
    <row r="11" spans="1:28" ht="5.0999999999999996" customHeight="1">
      <c r="A11" s="13"/>
      <c r="B11" s="13"/>
      <c r="C11" s="93"/>
      <c r="D11" s="243"/>
      <c r="E11" s="243"/>
      <c r="F11" s="243"/>
      <c r="G11" s="243"/>
      <c r="H11" s="243"/>
      <c r="I11" s="243"/>
      <c r="J11" s="243"/>
      <c r="K11" s="243"/>
      <c r="L11" s="243"/>
      <c r="M11" s="243"/>
      <c r="N11" s="243"/>
      <c r="O11" s="13"/>
      <c r="P11" s="13"/>
      <c r="Q11" s="13"/>
      <c r="R11" s="13"/>
      <c r="S11" s="13"/>
      <c r="T11" s="22"/>
      <c r="U11" s="15"/>
      <c r="V11" s="15"/>
      <c r="W11" s="23"/>
      <c r="X11" s="13"/>
      <c r="Y11" s="13"/>
      <c r="Z11" s="13"/>
      <c r="AA11" s="13"/>
      <c r="AB11" s="13"/>
    </row>
    <row r="12" spans="1:28" ht="12.75" customHeight="1">
      <c r="A12" s="13"/>
      <c r="B12" s="13"/>
      <c r="C12" s="93"/>
      <c r="D12" s="252" t="s">
        <v>35</v>
      </c>
      <c r="E12" s="253"/>
      <c r="F12" s="253"/>
      <c r="G12" s="254">
        <f>Rekenmodel!G12</f>
        <v>0</v>
      </c>
      <c r="H12" s="255"/>
      <c r="I12" s="256">
        <f>IF(G15=0,0,G12)</f>
        <v>0</v>
      </c>
      <c r="J12" s="257"/>
      <c r="K12" s="243"/>
      <c r="L12" s="243"/>
      <c r="M12" s="309">
        <f ca="1">Rekenmodel!M12</f>
        <v>0.05</v>
      </c>
      <c r="N12" s="258"/>
      <c r="O12" s="13"/>
      <c r="P12" s="13"/>
      <c r="Q12" s="13"/>
      <c r="R12" s="13"/>
      <c r="S12" s="13"/>
      <c r="T12" s="355" t="str">
        <f ca="1">IF(J14="CHF","/Aan leningdeel 1 is de CHF-toetsrente toegekend","")</f>
        <v/>
      </c>
      <c r="U12" s="356"/>
      <c r="V12" s="356"/>
      <c r="W12" s="357"/>
      <c r="X12" s="13"/>
      <c r="Y12" s="364" t="s">
        <v>36</v>
      </c>
      <c r="Z12" s="318"/>
      <c r="AA12" s="13"/>
      <c r="AB12" s="13"/>
    </row>
    <row r="13" spans="1:28" ht="12.75" customHeight="1">
      <c r="A13" s="13"/>
      <c r="B13" s="13"/>
      <c r="C13" s="93"/>
      <c r="D13" s="259" t="s">
        <v>37</v>
      </c>
      <c r="E13" s="243"/>
      <c r="F13" s="243"/>
      <c r="G13" s="260">
        <f>Rekenmodel!G13</f>
        <v>0</v>
      </c>
      <c r="H13" s="261" t="s">
        <v>38</v>
      </c>
      <c r="I13" s="262">
        <f>IF(H13="mnd",G13,G13*12)</f>
        <v>0</v>
      </c>
      <c r="J13" s="263" t="s">
        <v>38</v>
      </c>
      <c r="K13" s="243"/>
      <c r="L13" s="243"/>
      <c r="M13" s="310"/>
      <c r="N13" s="258" t="s">
        <v>39</v>
      </c>
      <c r="O13" s="13"/>
      <c r="P13" s="94"/>
      <c r="Q13" s="13"/>
      <c r="R13" s="13"/>
      <c r="S13" s="13"/>
      <c r="T13" s="365" t="str">
        <f>IF(I13&gt;360,"/ Looptijd leningdeel 1 is langer dan 30 jaar","")</f>
        <v/>
      </c>
      <c r="U13" s="366"/>
      <c r="V13" s="366"/>
      <c r="W13" s="367"/>
      <c r="X13" s="13"/>
      <c r="Y13" s="27">
        <f ca="1">IF(G15&gt;0,IF(AND(I15&lt;120,G12&gt;0,G13&gt;0,$I$8&gt;$V$54),$M$12,G14),0)</f>
        <v>0</v>
      </c>
      <c r="Z13" s="28" t="s">
        <v>103</v>
      </c>
      <c r="AA13" s="13"/>
      <c r="AB13" s="13"/>
    </row>
    <row r="14" spans="1:28" ht="12.75" customHeight="1">
      <c r="A14" s="13"/>
      <c r="B14" s="13"/>
      <c r="C14" s="93"/>
      <c r="D14" s="259" t="s">
        <v>41</v>
      </c>
      <c r="E14" s="243"/>
      <c r="F14" s="243"/>
      <c r="G14" s="264">
        <f>Rekenmodel!G14</f>
        <v>0</v>
      </c>
      <c r="H14" s="265"/>
      <c r="I14" s="266">
        <f ca="1">IF($Y$8=TRUE,G14,IF($I$8&gt;$V$54,IF(Y15&gt;0,Y15,Y13),Y14))</f>
        <v>0</v>
      </c>
      <c r="J14" s="263" t="str">
        <f ca="1">IF(AND(I14=$M$12,I14&gt;0,$I$8&gt;$V$54),"CHF",IF(AND(I14=$M$17,I14&gt;0,$I$8&lt;$U$55),"NHG",""))</f>
        <v/>
      </c>
      <c r="K14" s="244" t="str">
        <f ca="1">IF(OR($Y$8=TRUE,Y15&gt;0),"perc.GG","" )</f>
        <v/>
      </c>
      <c r="L14" s="243"/>
      <c r="M14" s="258"/>
      <c r="N14" s="258"/>
      <c r="O14" s="13"/>
      <c r="P14" s="95"/>
      <c r="Q14" s="13"/>
      <c r="R14" s="13"/>
      <c r="S14" s="13"/>
      <c r="T14" s="368" t="str">
        <f ca="1">IF(J14="NHG","/Aan leningdeel 1 is de NHG-toetsrente toegekend","")</f>
        <v/>
      </c>
      <c r="U14" s="366"/>
      <c r="V14" s="366"/>
      <c r="W14" s="367"/>
      <c r="X14" s="13"/>
      <c r="Y14" s="29">
        <f ca="1">IF(G15&gt;0,IF(AND(I15&lt;61,G12&gt;0,G13&gt;0,$I$8&lt;$V$54),IF(G14&gt;6%,G14,$M$17),G14),0)</f>
        <v>0</v>
      </c>
      <c r="Z14" s="28" t="s">
        <v>42</v>
      </c>
      <c r="AA14" s="13"/>
      <c r="AB14" s="13"/>
    </row>
    <row r="15" spans="1:28" ht="12.75" customHeight="1">
      <c r="A15" s="13"/>
      <c r="B15" s="13"/>
      <c r="C15" s="93"/>
      <c r="D15" s="267" t="s">
        <v>43</v>
      </c>
      <c r="E15" s="249"/>
      <c r="F15" s="249"/>
      <c r="G15" s="260">
        <f>Rekenmodel!G15</f>
        <v>0</v>
      </c>
      <c r="H15" s="261" t="s">
        <v>38</v>
      </c>
      <c r="I15" s="262">
        <f>IF(H15="mnd",G15,G15*12)</f>
        <v>0</v>
      </c>
      <c r="J15" s="268" t="s">
        <v>38</v>
      </c>
      <c r="K15" s="243"/>
      <c r="L15" s="243"/>
      <c r="M15" s="269" t="s">
        <v>44</v>
      </c>
      <c r="N15" s="243"/>
      <c r="O15" s="13"/>
      <c r="P15" s="95"/>
      <c r="Q15" s="13"/>
      <c r="R15" s="13"/>
      <c r="S15" s="13"/>
      <c r="T15" s="319" t="str">
        <f>IF(AND(I13&gt;0,I15&gt;I13),"/ De resterende rentevastperiode leningdeel 1 is te lang","")</f>
        <v/>
      </c>
      <c r="U15" s="369"/>
      <c r="V15" s="369"/>
      <c r="W15" s="370"/>
      <c r="X15" s="13"/>
      <c r="Y15" s="78">
        <f ca="1">IF(AND(Y10=TRUE,G14&gt;$M$12,G15&lt;120),G14,0)</f>
        <v>0</v>
      </c>
      <c r="Z15" s="77" t="s">
        <v>104</v>
      </c>
      <c r="AA15" s="13"/>
      <c r="AB15" s="13"/>
    </row>
    <row r="16" spans="1:28" ht="5.0999999999999996" customHeight="1">
      <c r="A16" s="13"/>
      <c r="B16" s="13"/>
      <c r="C16" s="93"/>
      <c r="D16" s="243"/>
      <c r="E16" s="243"/>
      <c r="F16" s="243"/>
      <c r="G16" s="265"/>
      <c r="H16" s="265"/>
      <c r="I16" s="256"/>
      <c r="J16" s="244"/>
      <c r="K16" s="243"/>
      <c r="L16" s="243"/>
      <c r="M16" s="243"/>
      <c r="N16" s="243"/>
      <c r="O16" s="13"/>
      <c r="P16" s="95"/>
      <c r="Q16" s="13"/>
      <c r="R16" s="13"/>
      <c r="S16" s="13"/>
      <c r="T16" s="24"/>
      <c r="U16" s="25"/>
      <c r="V16" s="25"/>
      <c r="W16" s="26"/>
      <c r="X16" s="13"/>
      <c r="Y16" s="36"/>
      <c r="Z16" s="37"/>
      <c r="AA16" s="13"/>
      <c r="AB16" s="13"/>
    </row>
    <row r="17" spans="1:28" ht="13.15">
      <c r="A17" s="13"/>
      <c r="B17" s="93"/>
      <c r="C17" s="93"/>
      <c r="D17" s="252" t="s">
        <v>46</v>
      </c>
      <c r="E17" s="253"/>
      <c r="F17" s="253"/>
      <c r="G17" s="254">
        <f>Rekenmodel!G17</f>
        <v>0</v>
      </c>
      <c r="H17" s="255"/>
      <c r="I17" s="256">
        <f>IF(G20=0,0,G17)</f>
        <v>0</v>
      </c>
      <c r="J17" s="257"/>
      <c r="K17" s="243"/>
      <c r="L17" s="243"/>
      <c r="M17" s="309" t="str">
        <f ca="1">IF($I$8&gt;V54,"n.v.t.",6%)</f>
        <v>n.v.t.</v>
      </c>
      <c r="N17" s="243"/>
      <c r="O17" s="13"/>
      <c r="P17" s="95"/>
      <c r="Q17" s="13"/>
      <c r="R17" s="13"/>
      <c r="S17" s="13"/>
      <c r="T17" s="355" t="str">
        <f ca="1">IF(J19="CHF","/Aan leningdeel 2 is de CHF-toetsrente toegekend","")</f>
        <v/>
      </c>
      <c r="U17" s="356"/>
      <c r="V17" s="356"/>
      <c r="W17" s="357"/>
      <c r="X17" s="13"/>
      <c r="Y17" s="36"/>
      <c r="Z17" s="37"/>
      <c r="AA17" s="13"/>
      <c r="AB17" s="13"/>
    </row>
    <row r="18" spans="1:28" ht="13.15">
      <c r="A18" s="13"/>
      <c r="B18" s="13"/>
      <c r="C18" s="93"/>
      <c r="D18" s="259" t="s">
        <v>47</v>
      </c>
      <c r="E18" s="243"/>
      <c r="F18" s="243"/>
      <c r="G18" s="260">
        <f>Rekenmodel!G18</f>
        <v>0</v>
      </c>
      <c r="H18" s="261" t="s">
        <v>38</v>
      </c>
      <c r="I18" s="262">
        <f>IF(H18="mnd",G18,G18*12)</f>
        <v>0</v>
      </c>
      <c r="J18" s="263" t="s">
        <v>38</v>
      </c>
      <c r="K18" s="243"/>
      <c r="L18" s="243"/>
      <c r="M18" s="310"/>
      <c r="N18" s="243"/>
      <c r="O18" s="13"/>
      <c r="P18" s="95"/>
      <c r="Q18" s="13"/>
      <c r="R18" s="13"/>
      <c r="S18" s="13"/>
      <c r="T18" s="365" t="str">
        <f>IF(I18&gt;360,"/ Looptijd leningdeel 2 is langer dan 30 jaar","")</f>
        <v/>
      </c>
      <c r="U18" s="366"/>
      <c r="V18" s="366"/>
      <c r="W18" s="367"/>
      <c r="X18" s="13"/>
      <c r="Y18" s="27">
        <f ca="1">IF(G20&gt;0,IF(AND(I20&lt;120,G17&gt;0,G18&gt;0,$I$8&gt;$V$54),$M$12,G19),0)</f>
        <v>0</v>
      </c>
      <c r="Z18" s="28" t="s">
        <v>103</v>
      </c>
      <c r="AA18" s="13"/>
      <c r="AB18" s="13"/>
    </row>
    <row r="19" spans="1:28" ht="13.15">
      <c r="A19" s="13"/>
      <c r="B19" s="13"/>
      <c r="C19" s="93"/>
      <c r="D19" s="259" t="s">
        <v>48</v>
      </c>
      <c r="E19" s="243"/>
      <c r="F19" s="243"/>
      <c r="G19" s="264">
        <f>Rekenmodel!G19</f>
        <v>0</v>
      </c>
      <c r="H19" s="265"/>
      <c r="I19" s="266">
        <f ca="1">IF($Y$8=TRUE,G19,IF($I$8&gt;$V$54,IF(Y20&gt;0,Y20,Y18),Y19))</f>
        <v>0</v>
      </c>
      <c r="J19" s="263" t="str">
        <f ca="1">IF(AND(I19=$M$12,I19&gt;0,$I$8&gt;$V$54),"AFM",IF(AND(I19=$M$17,I19&gt;0,$I$8&lt;$U$55),"NHG",""))</f>
        <v/>
      </c>
      <c r="K19" s="244" t="str">
        <f ca="1">IF(OR($Y$8=TRUE,Y20&gt;0),"perc.GG","" )</f>
        <v/>
      </c>
      <c r="L19" s="243"/>
      <c r="M19" s="243"/>
      <c r="N19" s="243"/>
      <c r="O19" s="13"/>
      <c r="P19" s="95"/>
      <c r="Q19" s="13"/>
      <c r="R19" s="13"/>
      <c r="S19" s="13"/>
      <c r="T19" s="368" t="str">
        <f ca="1">IF(J19="NHG","/Aan leningdeel 2 is de NHG-toetsrente toegekend","")</f>
        <v/>
      </c>
      <c r="U19" s="366"/>
      <c r="V19" s="366"/>
      <c r="W19" s="367"/>
      <c r="X19" s="13"/>
      <c r="Y19" s="29">
        <f ca="1">IF(G20&gt;0,IF(AND(I20&lt;61,G17&gt;0,G18&gt;0,$I$8&lt;$V$54),IF(G19&gt;6%,G19,$M$17),G19),0)</f>
        <v>0</v>
      </c>
      <c r="Z19" s="28" t="s">
        <v>42</v>
      </c>
      <c r="AA19" s="13"/>
      <c r="AB19" s="13"/>
    </row>
    <row r="20" spans="1:28" ht="13.15">
      <c r="A20" s="13"/>
      <c r="B20" s="13"/>
      <c r="C20" s="93"/>
      <c r="D20" s="267" t="s">
        <v>43</v>
      </c>
      <c r="E20" s="249"/>
      <c r="F20" s="249"/>
      <c r="G20" s="260">
        <f>Rekenmodel!G20</f>
        <v>0</v>
      </c>
      <c r="H20" s="261" t="s">
        <v>38</v>
      </c>
      <c r="I20" s="262">
        <f>IF(H20="mnd",G20,G20*12)</f>
        <v>0</v>
      </c>
      <c r="J20" s="268" t="s">
        <v>38</v>
      </c>
      <c r="K20" s="243"/>
      <c r="L20" s="243"/>
      <c r="M20" s="269" t="s">
        <v>49</v>
      </c>
      <c r="N20" s="243"/>
      <c r="O20" s="13"/>
      <c r="P20" s="95"/>
      <c r="Q20" s="13"/>
      <c r="R20" s="13"/>
      <c r="S20" s="13"/>
      <c r="T20" s="319" t="str">
        <f>IF(I20&gt;I18,"/ De resterende rentevastperiode van leningdeel 2 is te lang","")</f>
        <v/>
      </c>
      <c r="U20" s="369"/>
      <c r="V20" s="369"/>
      <c r="W20" s="370"/>
      <c r="X20" s="13"/>
      <c r="Y20" s="76">
        <f ca="1">IF(AND(Y10=TRUE,G19&gt;$M$12,G20&lt;120),G19,0)</f>
        <v>0</v>
      </c>
      <c r="Z20" s="77" t="s">
        <v>104</v>
      </c>
      <c r="AA20" s="13"/>
      <c r="AB20" s="13"/>
    </row>
    <row r="21" spans="1:28" ht="5.0999999999999996" customHeight="1">
      <c r="A21" s="13"/>
      <c r="B21" s="13"/>
      <c r="C21" s="93"/>
      <c r="D21" s="243"/>
      <c r="E21" s="243"/>
      <c r="F21" s="243"/>
      <c r="G21" s="265"/>
      <c r="H21" s="265"/>
      <c r="I21" s="256"/>
      <c r="J21" s="244"/>
      <c r="K21" s="243"/>
      <c r="L21" s="243"/>
      <c r="M21" s="243"/>
      <c r="N21" s="243"/>
      <c r="O21" s="13"/>
      <c r="P21" s="95"/>
      <c r="Q21" s="13"/>
      <c r="R21" s="13"/>
      <c r="S21" s="13"/>
      <c r="T21" s="24"/>
      <c r="U21" s="25"/>
      <c r="V21" s="25"/>
      <c r="W21" s="26"/>
      <c r="X21" s="13"/>
      <c r="Y21" s="36"/>
      <c r="Z21" s="37"/>
      <c r="AA21" s="13"/>
      <c r="AB21" s="13"/>
    </row>
    <row r="22" spans="1:28" ht="13.15">
      <c r="A22" s="13"/>
      <c r="B22" s="13"/>
      <c r="C22" s="93"/>
      <c r="D22" s="252" t="s">
        <v>50</v>
      </c>
      <c r="E22" s="253"/>
      <c r="F22" s="253"/>
      <c r="G22" s="254">
        <f>Rekenmodel!G22</f>
        <v>0</v>
      </c>
      <c r="H22" s="255"/>
      <c r="I22" s="256">
        <f>IF(G25=0,0,G22)</f>
        <v>0</v>
      </c>
      <c r="J22" s="257"/>
      <c r="K22" s="243"/>
      <c r="L22" s="243"/>
      <c r="M22" s="320" t="str">
        <f ca="1">IF(I37=0,"",S106)</f>
        <v/>
      </c>
      <c r="N22" s="244"/>
      <c r="O22" s="14"/>
      <c r="P22" s="95"/>
      <c r="Q22" s="14"/>
      <c r="R22" s="14"/>
      <c r="S22" s="13"/>
      <c r="T22" s="355" t="str">
        <f ca="1">IF(J24="CHF","/Aan leningdeel 3 is de CHF-toetsrente toegekend","")</f>
        <v/>
      </c>
      <c r="U22" s="356"/>
      <c r="V22" s="356"/>
      <c r="W22" s="357"/>
      <c r="X22" s="13"/>
      <c r="Y22" s="36"/>
      <c r="Z22" s="37"/>
      <c r="AA22" s="13"/>
      <c r="AB22" s="13"/>
    </row>
    <row r="23" spans="1:28" ht="13.15">
      <c r="A23" s="13"/>
      <c r="B23" s="13"/>
      <c r="C23" s="93"/>
      <c r="D23" s="259" t="s">
        <v>51</v>
      </c>
      <c r="E23" s="243"/>
      <c r="F23" s="243"/>
      <c r="G23" s="260">
        <f>Rekenmodel!G23</f>
        <v>0</v>
      </c>
      <c r="H23" s="261" t="s">
        <v>38</v>
      </c>
      <c r="I23" s="262">
        <f>IF(H23="mnd",G23,G23*12)</f>
        <v>0</v>
      </c>
      <c r="J23" s="263" t="s">
        <v>38</v>
      </c>
      <c r="K23" s="243"/>
      <c r="L23" s="243"/>
      <c r="M23" s="321"/>
      <c r="N23" s="243"/>
      <c r="O23" s="13"/>
      <c r="P23" s="95"/>
      <c r="Q23" s="13"/>
      <c r="R23" s="13"/>
      <c r="S23" s="13"/>
      <c r="T23" s="365" t="str">
        <f>IF(I23&gt;360,"/ Looptijd leningdeel 3 is langer dan 30 jaar","")</f>
        <v/>
      </c>
      <c r="U23" s="366"/>
      <c r="V23" s="366"/>
      <c r="W23" s="367"/>
      <c r="X23" s="13"/>
      <c r="Y23" s="27">
        <f ca="1">IF(G25&gt;0,IF(AND(I25&lt;120,G22&gt;0,G23&gt;0,$I$8&gt;$V$54),$M$12,G24),0)</f>
        <v>0</v>
      </c>
      <c r="Z23" s="28" t="s">
        <v>103</v>
      </c>
      <c r="AA23" s="13"/>
      <c r="AB23" s="13"/>
    </row>
    <row r="24" spans="1:28" ht="13.15">
      <c r="A24" s="13"/>
      <c r="B24" s="13"/>
      <c r="C24" s="93"/>
      <c r="D24" s="259" t="s">
        <v>52</v>
      </c>
      <c r="E24" s="243"/>
      <c r="F24" s="243"/>
      <c r="G24" s="264">
        <f>Rekenmodel!G24</f>
        <v>0</v>
      </c>
      <c r="H24" s="265"/>
      <c r="I24" s="266">
        <f ca="1">IF($Y$8=TRUE,G24,IF($I$8&gt;$V$54,IF(Y25&gt;0,Y25,Y23),Y24))</f>
        <v>0</v>
      </c>
      <c r="J24" s="263" t="str">
        <f ca="1">IF(AND(I24=$M$12,I24&gt;0,$I$8&gt;$V$54),"CHF",IF(AND(I24=$M$17,I24&gt;0,$I$8&lt;$U$55),"NHG",""))</f>
        <v/>
      </c>
      <c r="K24" s="244" t="str">
        <f ca="1">IF(OR($Y$8=TRUE,Y25&gt;0),"perc.GG","" )</f>
        <v/>
      </c>
      <c r="L24" s="243"/>
      <c r="M24" s="270"/>
      <c r="N24" s="243"/>
      <c r="O24" s="13"/>
      <c r="P24" s="95"/>
      <c r="Q24" s="13"/>
      <c r="R24" s="13"/>
      <c r="S24" s="13"/>
      <c r="T24" s="368" t="str">
        <f ca="1">IF(J24="NHG","/Aan leningdeel 3 is de NHG-toetsrente toegekend","")</f>
        <v/>
      </c>
      <c r="U24" s="366"/>
      <c r="V24" s="366"/>
      <c r="W24" s="367"/>
      <c r="X24" s="13"/>
      <c r="Y24" s="29">
        <f ca="1">IF(G25&gt;0,IF(AND(I25&lt;61,G22&gt;0,G23&gt;0,$I$8&lt;$V$54),IF(G24&gt;6%,G24,$M$17),G24),0)</f>
        <v>0</v>
      </c>
      <c r="Z24" s="28" t="s">
        <v>42</v>
      </c>
      <c r="AA24" s="13"/>
      <c r="AB24" s="13"/>
    </row>
    <row r="25" spans="1:28" ht="13.15">
      <c r="A25" s="13"/>
      <c r="B25" s="13"/>
      <c r="C25" s="93"/>
      <c r="D25" s="267" t="s">
        <v>43</v>
      </c>
      <c r="E25" s="249"/>
      <c r="F25" s="249"/>
      <c r="G25" s="260">
        <f>Rekenmodel!G25</f>
        <v>0</v>
      </c>
      <c r="H25" s="261" t="s">
        <v>38</v>
      </c>
      <c r="I25" s="262">
        <f>IF(H25="mnd",G25,G25*12)</f>
        <v>0</v>
      </c>
      <c r="J25" s="268" t="s">
        <v>38</v>
      </c>
      <c r="K25" s="243"/>
      <c r="L25" s="243"/>
      <c r="M25" s="269" t="s">
        <v>53</v>
      </c>
      <c r="N25" s="243"/>
      <c r="O25" s="13"/>
      <c r="P25" s="95"/>
      <c r="Q25" s="13"/>
      <c r="R25" s="13"/>
      <c r="S25" s="13"/>
      <c r="T25" s="319" t="str">
        <f>IF(I25&gt;I23,"/ De resterende rentevastperiode van leningdeel 3 is te lang","")</f>
        <v/>
      </c>
      <c r="U25" s="369"/>
      <c r="V25" s="369"/>
      <c r="W25" s="370"/>
      <c r="X25" s="13"/>
      <c r="Y25" s="76">
        <f ca="1">IF(AND(Y10=TRUE,G24&gt;$M$12,G25&lt;120),G24,0)</f>
        <v>0</v>
      </c>
      <c r="Z25" s="77" t="s">
        <v>104</v>
      </c>
      <c r="AA25" s="13"/>
      <c r="AB25" s="13"/>
    </row>
    <row r="26" spans="1:28" ht="5.0999999999999996" customHeight="1">
      <c r="A26" s="13"/>
      <c r="B26" s="13"/>
      <c r="C26" s="93"/>
      <c r="D26" s="243"/>
      <c r="E26" s="243"/>
      <c r="F26" s="243"/>
      <c r="G26" s="265"/>
      <c r="H26" s="265"/>
      <c r="I26" s="256"/>
      <c r="J26" s="244"/>
      <c r="K26" s="243"/>
      <c r="L26" s="243"/>
      <c r="M26" s="243"/>
      <c r="N26" s="243"/>
      <c r="O26" s="13"/>
      <c r="P26" s="95"/>
      <c r="Q26" s="13"/>
      <c r="R26" s="13"/>
      <c r="S26" s="13"/>
      <c r="T26" s="24"/>
      <c r="U26" s="25"/>
      <c r="V26" s="25"/>
      <c r="W26" s="26"/>
      <c r="X26" s="13"/>
      <c r="Y26" s="36"/>
      <c r="Z26" s="37"/>
      <c r="AA26" s="13"/>
      <c r="AB26" s="13"/>
    </row>
    <row r="27" spans="1:28" ht="13.15">
      <c r="A27" s="13"/>
      <c r="B27" s="13"/>
      <c r="C27" s="93"/>
      <c r="D27" s="252" t="s">
        <v>54</v>
      </c>
      <c r="E27" s="253"/>
      <c r="F27" s="253"/>
      <c r="G27" s="254">
        <f>Rekenmodel!G27</f>
        <v>0</v>
      </c>
      <c r="H27" s="255"/>
      <c r="I27" s="256">
        <f>IF(G30=0,0,G27)</f>
        <v>0</v>
      </c>
      <c r="J27" s="257"/>
      <c r="K27" s="243"/>
      <c r="L27" s="243"/>
      <c r="M27" s="322">
        <f>G51</f>
        <v>0</v>
      </c>
      <c r="N27" s="243"/>
      <c r="O27" s="13"/>
      <c r="P27" s="95"/>
      <c r="Q27" s="13"/>
      <c r="R27" s="13"/>
      <c r="S27" s="13"/>
      <c r="T27" s="355" t="str">
        <f ca="1">IF(J29="CHF","/Aan leningdeel 4 is de CHF-toetsrente toegekend","")</f>
        <v/>
      </c>
      <c r="U27" s="356"/>
      <c r="V27" s="356"/>
      <c r="W27" s="357"/>
      <c r="X27" s="13"/>
      <c r="Y27" s="36"/>
      <c r="Z27" s="37"/>
      <c r="AA27" s="13"/>
      <c r="AB27" s="13"/>
    </row>
    <row r="28" spans="1:28" ht="13.15">
      <c r="A28" s="13"/>
      <c r="B28" s="13"/>
      <c r="C28" s="93"/>
      <c r="D28" s="259" t="s">
        <v>55</v>
      </c>
      <c r="E28" s="243"/>
      <c r="F28" s="243"/>
      <c r="G28" s="260">
        <f>Rekenmodel!G28</f>
        <v>0</v>
      </c>
      <c r="H28" s="261" t="s">
        <v>38</v>
      </c>
      <c r="I28" s="262">
        <f>IF(H28="mnd",G28,G28*12)</f>
        <v>0</v>
      </c>
      <c r="J28" s="263" t="s">
        <v>38</v>
      </c>
      <c r="K28" s="243"/>
      <c r="L28" s="243"/>
      <c r="M28" s="323"/>
      <c r="N28" s="243"/>
      <c r="O28" s="13"/>
      <c r="P28" s="95"/>
      <c r="Q28" s="13"/>
      <c r="R28" s="13"/>
      <c r="S28" s="13"/>
      <c r="T28" s="365" t="str">
        <f>IF(I28&gt;360,"/ Looptijd leningdeel 4 is langer dan 30 jaar","")</f>
        <v/>
      </c>
      <c r="U28" s="366"/>
      <c r="V28" s="366"/>
      <c r="W28" s="367"/>
      <c r="X28" s="13"/>
      <c r="Y28" s="27">
        <f ca="1">IF(G30&gt;0,IF(AND(I30&lt;120,G27&gt;0,G28&gt;0,$I$8&gt;$V$54),$M$12,G29),0)</f>
        <v>0</v>
      </c>
      <c r="Z28" s="28" t="s">
        <v>103</v>
      </c>
      <c r="AA28" s="13"/>
      <c r="AB28" s="13"/>
    </row>
    <row r="29" spans="1:28" ht="13.15">
      <c r="A29" s="13"/>
      <c r="B29" s="13"/>
      <c r="C29" s="93"/>
      <c r="D29" s="259" t="s">
        <v>56</v>
      </c>
      <c r="E29" s="243"/>
      <c r="F29" s="243"/>
      <c r="G29" s="264">
        <f>Rekenmodel!G29</f>
        <v>0</v>
      </c>
      <c r="H29" s="265"/>
      <c r="I29" s="266">
        <f ca="1">IF($Y$8=TRUE,G29,IF($I$8&gt;$V$54,IF(Y30&gt;0,Y30,Y28),Y29))</f>
        <v>0</v>
      </c>
      <c r="J29" s="263" t="str">
        <f ca="1">IF(AND(I29=$M$12,I29&gt;0,$I$8&gt;$V$54),"CHF",IF(AND(I29=$M$17,I29&gt;0,$I$8&lt;$U$55),"NHG",""))</f>
        <v/>
      </c>
      <c r="K29" s="244" t="str">
        <f ca="1">IF(OR($Y$8=TRUE,Y30&gt;0),"perc.GG","" )</f>
        <v/>
      </c>
      <c r="L29" s="243"/>
      <c r="M29" s="243"/>
      <c r="N29" s="243"/>
      <c r="O29" s="13"/>
      <c r="P29" s="95"/>
      <c r="Q29" s="13"/>
      <c r="R29" s="13"/>
      <c r="S29" s="13"/>
      <c r="T29" s="368" t="str">
        <f ca="1">IF(J29="NHG","/Aan leningdeel 4 is de NHG-toetsrente toegekend","")</f>
        <v/>
      </c>
      <c r="U29" s="366"/>
      <c r="V29" s="366"/>
      <c r="W29" s="367"/>
      <c r="X29" s="13"/>
      <c r="Y29" s="29">
        <f ca="1">IF(G30&gt;0,IF(AND(I30&lt;61,G27&gt;0,G28&gt;0,$I$8&lt;$V$54),IF(G29&gt;6%,G29,$M$17),G29),0)</f>
        <v>0</v>
      </c>
      <c r="Z29" s="28" t="s">
        <v>42</v>
      </c>
      <c r="AA29" s="13"/>
      <c r="AB29" s="13"/>
    </row>
    <row r="30" spans="1:28" ht="13.15">
      <c r="A30" s="13"/>
      <c r="B30" s="13"/>
      <c r="C30" s="93"/>
      <c r="D30" s="267" t="s">
        <v>43</v>
      </c>
      <c r="E30" s="249"/>
      <c r="F30" s="249"/>
      <c r="G30" s="260">
        <f>Rekenmodel!G30</f>
        <v>0</v>
      </c>
      <c r="H30" s="261" t="s">
        <v>38</v>
      </c>
      <c r="I30" s="262">
        <f>IF(H30="mnd",G30,G30*12)</f>
        <v>0</v>
      </c>
      <c r="J30" s="268" t="s">
        <v>38</v>
      </c>
      <c r="K30" s="243"/>
      <c r="L30" s="243"/>
      <c r="M30" s="269" t="s">
        <v>57</v>
      </c>
      <c r="N30" s="243"/>
      <c r="O30" s="13"/>
      <c r="P30" s="95"/>
      <c r="Q30" s="13"/>
      <c r="R30" s="13"/>
      <c r="S30" s="13"/>
      <c r="T30" s="319" t="str">
        <f>IF(I30&gt;I28,"/ De resterende renstevastperiode van leningdeel 4 is te lang","")</f>
        <v/>
      </c>
      <c r="U30" s="369"/>
      <c r="V30" s="369"/>
      <c r="W30" s="370"/>
      <c r="X30" s="13"/>
      <c r="Y30" s="76">
        <f ca="1">IF(AND(Y10=TRUE,G29&gt;$M$12,G30&lt;120),G29,0)</f>
        <v>0</v>
      </c>
      <c r="Z30" s="77" t="s">
        <v>104</v>
      </c>
      <c r="AA30" s="13"/>
      <c r="AB30" s="13"/>
    </row>
    <row r="31" spans="1:28" ht="5.0999999999999996" customHeight="1">
      <c r="A31" s="13"/>
      <c r="B31" s="13"/>
      <c r="C31" s="93"/>
      <c r="D31" s="243"/>
      <c r="E31" s="243"/>
      <c r="F31" s="243"/>
      <c r="G31" s="265"/>
      <c r="H31" s="265"/>
      <c r="I31" s="256"/>
      <c r="J31" s="244"/>
      <c r="K31" s="243"/>
      <c r="L31" s="243"/>
      <c r="M31" s="243"/>
      <c r="N31" s="243"/>
      <c r="O31" s="13"/>
      <c r="P31" s="95"/>
      <c r="Q31" s="13"/>
      <c r="R31" s="13"/>
      <c r="S31" s="13"/>
      <c r="T31" s="24"/>
      <c r="U31" s="25"/>
      <c r="V31" s="25"/>
      <c r="W31" s="26"/>
      <c r="X31" s="13"/>
      <c r="Y31" s="36"/>
      <c r="Z31" s="37"/>
      <c r="AA31" s="13"/>
      <c r="AB31" s="13"/>
    </row>
    <row r="32" spans="1:28" ht="12.75" customHeight="1">
      <c r="A32" s="13"/>
      <c r="B32" s="13"/>
      <c r="C32" s="93"/>
      <c r="D32" s="252" t="s">
        <v>58</v>
      </c>
      <c r="E32" s="253"/>
      <c r="F32" s="253"/>
      <c r="G32" s="254">
        <f>Rekenmodel!G32</f>
        <v>0</v>
      </c>
      <c r="H32" s="255"/>
      <c r="I32" s="256">
        <f>IF(G35=0,0,G32)</f>
        <v>0</v>
      </c>
      <c r="J32" s="257"/>
      <c r="K32" s="243"/>
      <c r="L32" s="243"/>
      <c r="M32" s="326">
        <f ca="1">Rekenmodel!M32</f>
        <v>0</v>
      </c>
      <c r="N32" s="243"/>
      <c r="O32" s="13"/>
      <c r="P32" s="95"/>
      <c r="Q32" s="13"/>
      <c r="R32" s="13"/>
      <c r="S32" s="13"/>
      <c r="T32" s="355" t="str">
        <f ca="1">IF(J34="CHF","/Aan leningdeel 5 is de CHF-toetsrente toegekend","")</f>
        <v/>
      </c>
      <c r="U32" s="356"/>
      <c r="V32" s="356"/>
      <c r="W32" s="357"/>
      <c r="X32" s="13"/>
      <c r="Y32" s="36"/>
      <c r="Z32" s="37"/>
      <c r="AA32" s="13"/>
      <c r="AB32" s="13"/>
    </row>
    <row r="33" spans="1:28" ht="12.75" customHeight="1">
      <c r="A33" s="13"/>
      <c r="B33" s="13"/>
      <c r="C33" s="93"/>
      <c r="D33" s="259" t="s">
        <v>59</v>
      </c>
      <c r="E33" s="243"/>
      <c r="F33" s="243"/>
      <c r="G33" s="260">
        <f>Rekenmodel!G33</f>
        <v>0</v>
      </c>
      <c r="H33" s="261" t="s">
        <v>38</v>
      </c>
      <c r="I33" s="262">
        <f>IF(H33="mnd",G33,G33*12)</f>
        <v>0</v>
      </c>
      <c r="J33" s="263" t="s">
        <v>38</v>
      </c>
      <c r="K33" s="243"/>
      <c r="L33" s="243"/>
      <c r="M33" s="327"/>
      <c r="N33" s="243"/>
      <c r="O33" s="13"/>
      <c r="P33" s="95"/>
      <c r="Q33" s="13"/>
      <c r="R33" s="13"/>
      <c r="S33" s="13"/>
      <c r="T33" s="365" t="str">
        <f>IF(I33&gt;360,"/ Looptijd leningdeel 5 is langer dan 30 jaar","")</f>
        <v/>
      </c>
      <c r="U33" s="366"/>
      <c r="V33" s="366"/>
      <c r="W33" s="367"/>
      <c r="X33" s="13"/>
      <c r="Y33" s="27">
        <f ca="1">IF(G35&gt;0,IF(AND(I35&lt;120,G32&gt;0,G33&gt;0,$I$8&gt;$V$54),$M$12,G34),0)</f>
        <v>0</v>
      </c>
      <c r="Z33" s="28" t="s">
        <v>103</v>
      </c>
      <c r="AA33" s="13"/>
      <c r="AB33" s="13"/>
    </row>
    <row r="34" spans="1:28" ht="13.15">
      <c r="A34" s="13"/>
      <c r="B34" s="13"/>
      <c r="C34" s="93"/>
      <c r="D34" s="259" t="s">
        <v>60</v>
      </c>
      <c r="E34" s="243"/>
      <c r="F34" s="243"/>
      <c r="G34" s="264">
        <f>Rekenmodel!G34</f>
        <v>0</v>
      </c>
      <c r="H34" s="265"/>
      <c r="I34" s="266">
        <f ca="1">IF($Y$8=TRUE,G34,IF($I$8&gt;$V$54,IF(Y35&gt;0,Y35,Y33),Y34))</f>
        <v>0</v>
      </c>
      <c r="J34" s="263" t="str">
        <f ca="1">IF(AND(I34=$M$12,I34&gt;0,$I$8&gt;$V$54),"CHF",IF(AND(I34=$M$17,I34&gt;0,$I$8&lt;$U$55),"NHG",""))</f>
        <v/>
      </c>
      <c r="K34" s="244" t="str">
        <f ca="1">IF(OR($Y$8=TRUE,Y35&gt;0),"perc.GG","" )</f>
        <v/>
      </c>
      <c r="L34" s="251"/>
      <c r="M34" s="324">
        <f ca="1">M32</f>
        <v>0</v>
      </c>
      <c r="N34" s="251"/>
      <c r="O34" s="13"/>
      <c r="P34" s="95"/>
      <c r="Q34" s="13"/>
      <c r="R34" s="13"/>
      <c r="S34" s="13"/>
      <c r="T34" s="368" t="str">
        <f ca="1">IF(J34="NHG","/Aan leningdeel 5 is de NHG-toetsrente toegekend","")</f>
        <v/>
      </c>
      <c r="U34" s="366"/>
      <c r="V34" s="366"/>
      <c r="W34" s="367"/>
      <c r="X34" s="13"/>
      <c r="Y34" s="29">
        <f ca="1">IF(G35&gt;0,IF(AND(I35&lt;61,G32&gt;0,G33&gt;0,$I$8&lt;$V$54),IF(G34&gt;6%,G34,$M$17),G34),0)</f>
        <v>0</v>
      </c>
      <c r="Z34" s="28" t="s">
        <v>42</v>
      </c>
      <c r="AA34" s="13"/>
      <c r="AB34" s="13"/>
    </row>
    <row r="35" spans="1:28" ht="13.15">
      <c r="A35" s="13"/>
      <c r="B35" s="13"/>
      <c r="C35" s="93"/>
      <c r="D35" s="267" t="s">
        <v>43</v>
      </c>
      <c r="E35" s="249"/>
      <c r="F35" s="249"/>
      <c r="G35" s="260">
        <f>Rekenmodel!G35</f>
        <v>0</v>
      </c>
      <c r="H35" s="261" t="s">
        <v>38</v>
      </c>
      <c r="I35" s="262">
        <f>IF(H35="mnd",G35,G35*12)</f>
        <v>0</v>
      </c>
      <c r="J35" s="268" t="s">
        <v>38</v>
      </c>
      <c r="K35" s="243"/>
      <c r="L35" s="251"/>
      <c r="M35" s="325"/>
      <c r="N35" s="251"/>
      <c r="O35" s="13"/>
      <c r="P35" s="95"/>
      <c r="Q35" s="13"/>
      <c r="R35" s="13"/>
      <c r="S35" s="13"/>
      <c r="T35" s="319" t="str">
        <f>IF(I35&gt;I33,"/De resterende rentevastperiode van leningdeel 5 is te lang","")</f>
        <v/>
      </c>
      <c r="U35" s="369"/>
      <c r="V35" s="369"/>
      <c r="W35" s="370"/>
      <c r="X35" s="13"/>
      <c r="Y35" s="76">
        <f ca="1">IF(AND(Y10=TRUE,G34&gt;$M$12,G35&lt;120),G34,0)</f>
        <v>0</v>
      </c>
      <c r="Z35" s="77" t="s">
        <v>104</v>
      </c>
      <c r="AA35" s="13"/>
      <c r="AB35" s="13"/>
    </row>
    <row r="36" spans="1:28" ht="5.0999999999999996" customHeight="1">
      <c r="A36" s="13"/>
      <c r="B36" s="13"/>
      <c r="C36" s="93"/>
      <c r="D36" s="243"/>
      <c r="E36" s="243"/>
      <c r="F36" s="243"/>
      <c r="G36" s="265"/>
      <c r="H36" s="265"/>
      <c r="I36" s="256"/>
      <c r="J36" s="243"/>
      <c r="K36" s="243"/>
      <c r="L36" s="243"/>
      <c r="M36" s="325"/>
      <c r="N36" s="243"/>
      <c r="O36" s="13"/>
      <c r="P36" s="95"/>
      <c r="Q36" s="13"/>
      <c r="R36" s="13"/>
      <c r="S36" s="13"/>
      <c r="T36" s="24"/>
      <c r="U36" s="25"/>
      <c r="V36" s="25"/>
      <c r="W36" s="26"/>
      <c r="X36" s="13"/>
      <c r="Y36" s="13"/>
      <c r="Z36" s="13"/>
      <c r="AA36" s="13"/>
      <c r="AB36" s="13"/>
    </row>
    <row r="37" spans="1:28" ht="12.75" customHeight="1">
      <c r="A37" s="13"/>
      <c r="B37" s="13"/>
      <c r="C37" s="93"/>
      <c r="D37" s="271"/>
      <c r="E37" s="253"/>
      <c r="F37" s="253"/>
      <c r="G37" s="272"/>
      <c r="H37" s="253"/>
      <c r="I37" s="256">
        <f ca="1">IF(G15+G20+G25+G30+G35=0,0,+((I12*I13*I14)+(I17*I18*I19)+(I22*I23*I24)+(I27*I28*I29)+(I32*I33*I34))/((I12*I13)+(I17*I18)+(I22*I23)+(I27*I28)+(I32*I33)))</f>
        <v>0</v>
      </c>
      <c r="J37" s="253"/>
      <c r="K37" s="265"/>
      <c r="L37" s="243"/>
      <c r="M37" s="325"/>
      <c r="N37" s="243"/>
      <c r="O37" s="13"/>
      <c r="P37" s="95"/>
      <c r="Q37" s="13"/>
      <c r="R37" s="13"/>
      <c r="S37" s="13"/>
      <c r="T37" s="358"/>
      <c r="U37" s="359"/>
      <c r="V37" s="359"/>
      <c r="W37" s="360"/>
      <c r="X37" s="13"/>
      <c r="Y37" s="13"/>
      <c r="Z37" s="13"/>
      <c r="AA37" s="13"/>
      <c r="AB37" s="13"/>
    </row>
    <row r="38" spans="1:28" ht="12.75" hidden="1" customHeight="1">
      <c r="A38" s="13"/>
      <c r="B38" s="13"/>
      <c r="C38" s="93"/>
      <c r="D38" s="244" t="s">
        <v>61</v>
      </c>
      <c r="E38" s="243"/>
      <c r="F38" s="243"/>
      <c r="G38" s="243"/>
      <c r="H38" s="243"/>
      <c r="I38" s="273" t="e">
        <f ca="1">+(G12+G17+G22+G27+G32)/I39</f>
        <v>#NUM!</v>
      </c>
      <c r="J38" s="243"/>
      <c r="K38" s="243"/>
      <c r="L38" s="243"/>
      <c r="M38" s="325"/>
      <c r="N38" s="243"/>
      <c r="O38" s="13"/>
      <c r="P38" s="95"/>
      <c r="Q38" s="13"/>
      <c r="R38" s="13"/>
      <c r="S38" s="13"/>
      <c r="T38" s="24"/>
      <c r="U38" s="25"/>
      <c r="V38" s="25"/>
      <c r="W38" s="26"/>
      <c r="X38" s="13"/>
      <c r="Y38" s="13"/>
      <c r="Z38" s="13"/>
      <c r="AA38" s="13"/>
      <c r="AB38" s="13"/>
    </row>
    <row r="39" spans="1:28" ht="12.75" hidden="1" customHeight="1">
      <c r="A39" s="13"/>
      <c r="B39" s="13"/>
      <c r="C39" s="93"/>
      <c r="D39" s="244" t="s">
        <v>62</v>
      </c>
      <c r="E39" s="244"/>
      <c r="F39" s="244"/>
      <c r="G39" s="244"/>
      <c r="H39" s="274"/>
      <c r="I39" s="275" t="e">
        <f ca="1">PMT(I37/12,(I13),(I12+I17+I22+I27+I32))*-1</f>
        <v>#NUM!</v>
      </c>
      <c r="J39" s="243"/>
      <c r="K39" s="243"/>
      <c r="L39" s="243"/>
      <c r="M39" s="325"/>
      <c r="N39" s="243"/>
      <c r="O39" s="13"/>
      <c r="P39" s="95"/>
      <c r="Q39" s="13"/>
      <c r="R39" s="13"/>
      <c r="S39" s="13"/>
      <c r="T39" s="24"/>
      <c r="U39" s="25"/>
      <c r="V39" s="25"/>
      <c r="W39" s="26"/>
      <c r="X39" s="13"/>
      <c r="Y39" s="13"/>
      <c r="Z39" s="13"/>
      <c r="AA39" s="13"/>
      <c r="AB39" s="13"/>
    </row>
    <row r="40" spans="1:28" ht="12.75" hidden="1" customHeight="1">
      <c r="A40" s="13"/>
      <c r="B40" s="13"/>
      <c r="C40" s="93"/>
      <c r="D40" s="244" t="s">
        <v>63</v>
      </c>
      <c r="E40" s="244"/>
      <c r="F40" s="244"/>
      <c r="G40" s="244"/>
      <c r="H40" s="276"/>
      <c r="I40" s="277" t="e">
        <f ca="1">+I39/(I12+I17+I22+I27+I32)</f>
        <v>#NUM!</v>
      </c>
      <c r="J40" s="243"/>
      <c r="K40" s="243"/>
      <c r="L40" s="243"/>
      <c r="M40" s="325"/>
      <c r="N40" s="243"/>
      <c r="O40" s="13"/>
      <c r="P40" s="95"/>
      <c r="Q40" s="13"/>
      <c r="R40" s="13"/>
      <c r="S40" s="13"/>
      <c r="T40" s="24"/>
      <c r="U40" s="25"/>
      <c r="V40" s="25"/>
      <c r="W40" s="26"/>
      <c r="X40" s="13"/>
      <c r="Y40" s="13"/>
      <c r="Z40" s="13"/>
      <c r="AA40" s="13"/>
      <c r="AB40" s="13"/>
    </row>
    <row r="41" spans="1:28" ht="5.0999999999999996" customHeight="1">
      <c r="A41" s="13"/>
      <c r="B41" s="13"/>
      <c r="C41" s="93"/>
      <c r="D41" s="243"/>
      <c r="E41" s="243"/>
      <c r="F41" s="243"/>
      <c r="G41" s="243"/>
      <c r="H41" s="243"/>
      <c r="I41" s="243"/>
      <c r="J41" s="243"/>
      <c r="K41" s="243"/>
      <c r="L41" s="243"/>
      <c r="M41" s="325"/>
      <c r="N41" s="243"/>
      <c r="O41" s="13"/>
      <c r="P41" s="95"/>
      <c r="Q41" s="13"/>
      <c r="R41" s="13"/>
      <c r="S41" s="13"/>
      <c r="T41" s="24"/>
      <c r="U41" s="25"/>
      <c r="V41" s="25"/>
      <c r="W41" s="26"/>
      <c r="X41" s="13"/>
      <c r="Y41" s="13"/>
      <c r="Z41" s="13"/>
      <c r="AA41" s="13"/>
      <c r="AB41" s="13"/>
    </row>
    <row r="42" spans="1:28" ht="13.15">
      <c r="A42" s="13"/>
      <c r="B42" s="13"/>
      <c r="C42" s="13"/>
      <c r="D42" s="243"/>
      <c r="E42" s="243"/>
      <c r="F42" s="243"/>
      <c r="G42" s="243"/>
      <c r="H42" s="269"/>
      <c r="I42" s="330" t="str">
        <f ca="1">IF(I43&lt;&gt;"","Melding","")</f>
        <v/>
      </c>
      <c r="J42" s="330"/>
      <c r="K42" s="330"/>
      <c r="L42" s="330"/>
      <c r="M42" s="330"/>
      <c r="N42" s="243"/>
      <c r="O42" s="13"/>
      <c r="P42" s="95"/>
      <c r="Q42" s="13"/>
      <c r="R42" s="13"/>
      <c r="S42" s="13"/>
      <c r="T42" s="355" t="str">
        <f ca="1">IF(AND($I$8&gt;V55,M12=0),"/ De offertedatum ligt na het eerstvolgende herzieningsmoment van de CHF-toetsrente. Het bepalen van de gewogen gemiddelde toetsrente is niet mogelijk","")</f>
        <v/>
      </c>
      <c r="U42" s="356"/>
      <c r="V42" s="356"/>
      <c r="W42" s="357"/>
      <c r="X42" s="75"/>
      <c r="Y42" s="56"/>
      <c r="Z42" s="56"/>
      <c r="AA42" s="57"/>
      <c r="AB42" s="13"/>
    </row>
    <row r="43" spans="1:28" ht="18.75" customHeight="1">
      <c r="A43" s="13"/>
      <c r="B43" s="13"/>
      <c r="C43" s="13"/>
      <c r="D43" s="96"/>
      <c r="E43" s="371"/>
      <c r="F43" s="371"/>
      <c r="G43" s="97"/>
      <c r="H43" s="13"/>
      <c r="I43" s="331" t="str">
        <f ca="1">Rekenmodel!I43</f>
        <v/>
      </c>
      <c r="J43" s="331"/>
      <c r="K43" s="331"/>
      <c r="L43" s="331"/>
      <c r="M43" s="331"/>
      <c r="N43" s="13"/>
      <c r="O43" s="13"/>
      <c r="P43" s="95"/>
      <c r="Q43" s="13"/>
      <c r="R43" s="13"/>
      <c r="S43" s="13"/>
      <c r="T43" s="365" t="str">
        <f>IF(G43="nee","/De juiste offertedatum is benodigd voor het bepalen van de gemiddelde gewogen toetsrente","")</f>
        <v/>
      </c>
      <c r="U43" s="366"/>
      <c r="V43" s="366"/>
      <c r="W43" s="367"/>
      <c r="X43" s="13"/>
      <c r="Y43" s="13"/>
      <c r="Z43" s="13"/>
      <c r="AA43" s="13"/>
      <c r="AB43" s="13"/>
    </row>
    <row r="44" spans="1:28" ht="117" customHeight="1">
      <c r="A44" s="13"/>
      <c r="B44" s="13"/>
      <c r="C44" s="13"/>
      <c r="D44" s="278" t="str">
        <f>Rekenmodel!D44</f>
        <v>Uitgiftedatum 27 augustus 2021. Eerder uitgegeven versies komen met de uitgifte van deze versie te vervallen.</v>
      </c>
      <c r="E44" s="98"/>
      <c r="F44" s="98"/>
      <c r="G44" s="13"/>
      <c r="H44" s="99"/>
      <c r="I44" s="331"/>
      <c r="J44" s="331"/>
      <c r="K44" s="331"/>
      <c r="L44" s="331"/>
      <c r="M44" s="331"/>
      <c r="N44" s="13"/>
      <c r="O44" s="13"/>
      <c r="P44" s="100"/>
      <c r="Q44" s="13"/>
      <c r="R44" s="13"/>
      <c r="S44" s="13"/>
      <c r="T44" s="361" t="str">
        <f>IF(G51&gt;350000,"/ Lening boven de kostengrens, geen NHG mogelijk!",IF(AND(G51&gt;265000,G51&lt;350001),"/Let op! De kostengrens voor een nieuwe lening in verband met kwaliteitsverbetering (Norm 3.1) en een aanvullende lening in verband met kwaliteitsverbetering (Norm 3.2) bedraagt 265.000 euro.",""))</f>
        <v/>
      </c>
      <c r="U44" s="362"/>
      <c r="V44" s="362"/>
      <c r="W44" s="363"/>
      <c r="X44" s="82" t="s">
        <v>66</v>
      </c>
      <c r="Y44" s="83"/>
      <c r="Z44" s="73"/>
      <c r="AA44" s="74"/>
      <c r="AB44" s="13"/>
    </row>
    <row r="45" spans="1:28" ht="3.75" customHeight="1">
      <c r="A45" s="13"/>
      <c r="B45" s="13"/>
      <c r="C45" s="13"/>
      <c r="D45" s="98"/>
      <c r="E45" s="13"/>
      <c r="F45" s="13"/>
      <c r="G45" s="13"/>
      <c r="H45" s="13"/>
      <c r="I45" s="13"/>
      <c r="J45" s="13"/>
      <c r="K45" s="13"/>
      <c r="L45" s="13"/>
      <c r="M45" s="13"/>
      <c r="N45" s="13"/>
      <c r="O45" s="13"/>
      <c r="P45" s="13"/>
      <c r="Q45" s="13"/>
      <c r="R45" s="13"/>
      <c r="S45" s="13"/>
      <c r="T45" s="47"/>
      <c r="U45" s="48"/>
      <c r="V45" s="48"/>
      <c r="W45" s="49"/>
      <c r="X45" s="13"/>
    </row>
    <row r="46" spans="1:28">
      <c r="A46" s="13"/>
      <c r="B46" s="13"/>
      <c r="C46" s="13"/>
      <c r="D46" s="13"/>
      <c r="E46" s="13"/>
      <c r="F46" s="13"/>
      <c r="G46" s="13"/>
      <c r="H46" s="13"/>
      <c r="I46" s="13"/>
      <c r="J46" s="13"/>
      <c r="K46" s="13"/>
      <c r="L46" s="13"/>
      <c r="M46" s="13"/>
      <c r="N46" s="13"/>
      <c r="O46" s="13"/>
      <c r="P46" s="13"/>
      <c r="Q46" s="13"/>
      <c r="R46" s="13"/>
      <c r="S46" s="13"/>
      <c r="T46" s="372" t="str">
        <f ca="1">IF(AND(G12&gt;0,G13&gt;0,G14&gt;0,G15&gt;0,T42="",T43="",T44=""),"/ De gewogen gemiddelde toetsrente dient u in te vullen in het toetsprogramma op het tabblad 'Lening'","")</f>
        <v/>
      </c>
      <c r="U46" s="373"/>
      <c r="V46" s="373"/>
      <c r="W46" s="374"/>
      <c r="X46" s="13"/>
      <c r="Y46" s="13"/>
      <c r="Z46" s="13"/>
      <c r="AA46" s="13"/>
      <c r="AB46" s="13"/>
    </row>
    <row r="47" spans="1:28" ht="15" hidden="1">
      <c r="A47" s="13"/>
      <c r="B47" s="13"/>
      <c r="C47" s="13"/>
      <c r="D47" s="13"/>
      <c r="E47" s="13"/>
      <c r="F47" s="13"/>
      <c r="G47" s="13"/>
      <c r="H47" s="13"/>
      <c r="I47" s="13"/>
      <c r="J47" s="13"/>
      <c r="K47" s="13"/>
      <c r="L47" s="41"/>
      <c r="M47" s="13"/>
      <c r="N47" s="13"/>
      <c r="O47" s="13"/>
      <c r="P47" s="13"/>
      <c r="Q47" s="13"/>
      <c r="R47" s="13"/>
      <c r="S47" s="13"/>
      <c r="T47" s="13"/>
      <c r="U47" s="13"/>
      <c r="V47" s="13"/>
      <c r="W47" s="13"/>
      <c r="X47" s="13"/>
      <c r="Y47" s="13"/>
      <c r="Z47" s="13"/>
      <c r="AA47" s="13"/>
      <c r="AB47" s="13"/>
    </row>
    <row r="48" spans="1:28" hidden="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row>
    <row r="49" spans="1:28" hidden="1">
      <c r="A49" s="13"/>
      <c r="M49" s="21"/>
      <c r="S49" s="13"/>
      <c r="T49" s="13"/>
      <c r="U49" s="13"/>
      <c r="V49" s="13"/>
      <c r="W49" s="13"/>
      <c r="X49" s="13"/>
      <c r="Y49" s="13"/>
      <c r="Z49" s="13"/>
      <c r="AA49" s="13"/>
      <c r="AB49" s="13"/>
    </row>
    <row r="50" spans="1:28" hidden="1">
      <c r="G50" s="38" t="s">
        <v>67</v>
      </c>
      <c r="I50" s="9" t="s">
        <v>105</v>
      </c>
      <c r="J50" s="11"/>
      <c r="K50" s="11"/>
      <c r="L50" s="11"/>
      <c r="M50" s="45"/>
      <c r="S50" s="13"/>
      <c r="T50" s="13"/>
      <c r="U50" s="13"/>
      <c r="V50" s="13"/>
      <c r="W50" s="13"/>
      <c r="X50" s="13"/>
      <c r="Y50" s="13"/>
      <c r="Z50" s="13"/>
      <c r="AA50" s="13"/>
      <c r="AB50" s="13"/>
    </row>
    <row r="51" spans="1:28" ht="12.75" hidden="1" customHeight="1">
      <c r="G51" s="39">
        <f>G12+G17+G22+G27+G32</f>
        <v>0</v>
      </c>
      <c r="I51" s="46" t="b">
        <f ca="1">OR(J14="CHF",J19="CHF",J24="CHF",J29="CHF",J34="CHF")</f>
        <v>0</v>
      </c>
      <c r="S51" s="9"/>
      <c r="T51" s="10" t="s">
        <v>106</v>
      </c>
      <c r="U51" s="11"/>
      <c r="V51" s="11"/>
      <c r="W51" s="11"/>
      <c r="X51" s="12"/>
    </row>
    <row r="52" spans="1:28" ht="27" hidden="1" customHeight="1">
      <c r="G52" s="54" t="s">
        <v>70</v>
      </c>
      <c r="S52" s="7" t="s">
        <v>71</v>
      </c>
      <c r="T52" s="7" t="s">
        <v>72</v>
      </c>
      <c r="U52" s="7" t="s">
        <v>73</v>
      </c>
      <c r="V52" s="7" t="s">
        <v>74</v>
      </c>
      <c r="W52" s="8" t="s">
        <v>75</v>
      </c>
      <c r="X52" s="7"/>
      <c r="AA52" s="328" t="s">
        <v>76</v>
      </c>
      <c r="AB52" s="329"/>
    </row>
    <row r="53" spans="1:28" hidden="1">
      <c r="G53" s="40">
        <f>SUM(G12:G35)</f>
        <v>0</v>
      </c>
      <c r="S53" s="1">
        <v>2006</v>
      </c>
      <c r="T53" s="1" t="s">
        <v>77</v>
      </c>
      <c r="U53" s="1"/>
      <c r="V53" s="2">
        <v>39082</v>
      </c>
      <c r="W53" s="52">
        <v>0.06</v>
      </c>
      <c r="X53" s="31"/>
      <c r="AA53" s="30" t="s">
        <v>38</v>
      </c>
      <c r="AB53" s="30" t="s">
        <v>64</v>
      </c>
    </row>
    <row r="54" spans="1:28" hidden="1">
      <c r="S54" s="1">
        <v>2007</v>
      </c>
      <c r="T54" s="1" t="s">
        <v>78</v>
      </c>
      <c r="U54" s="2">
        <v>39083</v>
      </c>
      <c r="V54" s="2">
        <v>39172</v>
      </c>
      <c r="W54" s="52">
        <v>0.06</v>
      </c>
      <c r="X54" s="31">
        <f ca="1">IF($I$8&gt;V54,0,W54)</f>
        <v>0</v>
      </c>
      <c r="AA54" s="30" t="s">
        <v>71</v>
      </c>
      <c r="AB54" s="30" t="s">
        <v>79</v>
      </c>
    </row>
    <row r="55" spans="1:28" hidden="1">
      <c r="S55" s="3"/>
      <c r="T55" s="3" t="s">
        <v>80</v>
      </c>
      <c r="U55" s="61">
        <v>39173</v>
      </c>
      <c r="V55" s="4">
        <v>39263</v>
      </c>
      <c r="W55" s="52">
        <v>4.9000000000000002E-2</v>
      </c>
      <c r="X55" s="31">
        <f t="shared" ref="X55:X67" ca="1" si="0">IF(AND($I$8&gt;V54,$I$8&lt;U56),W55,0)</f>
        <v>0</v>
      </c>
    </row>
    <row r="56" spans="1:28" hidden="1">
      <c r="S56" s="3"/>
      <c r="T56" s="3" t="s">
        <v>81</v>
      </c>
      <c r="U56" s="4">
        <v>39264</v>
      </c>
      <c r="V56" s="4">
        <v>39355</v>
      </c>
      <c r="W56" s="52">
        <v>5.2999999999999999E-2</v>
      </c>
      <c r="X56" s="31">
        <f t="shared" ca="1" si="0"/>
        <v>0</v>
      </c>
    </row>
    <row r="57" spans="1:28" hidden="1">
      <c r="S57" s="5"/>
      <c r="T57" s="5" t="s">
        <v>77</v>
      </c>
      <c r="U57" s="6">
        <v>39356</v>
      </c>
      <c r="V57" s="6">
        <v>39447</v>
      </c>
      <c r="W57" s="52">
        <v>5.2999999999999999E-2</v>
      </c>
      <c r="X57" s="31">
        <f t="shared" ca="1" si="0"/>
        <v>0</v>
      </c>
    </row>
    <row r="58" spans="1:28" hidden="1">
      <c r="S58" s="1">
        <v>2008</v>
      </c>
      <c r="T58" s="1" t="s">
        <v>78</v>
      </c>
      <c r="U58" s="2">
        <v>39448</v>
      </c>
      <c r="V58" s="2">
        <v>39538</v>
      </c>
      <c r="W58" s="52">
        <v>5.2999999999999999E-2</v>
      </c>
      <c r="X58" s="31">
        <f t="shared" ca="1" si="0"/>
        <v>0</v>
      </c>
    </row>
    <row r="59" spans="1:28" hidden="1">
      <c r="S59" s="3"/>
      <c r="T59" s="3" t="s">
        <v>80</v>
      </c>
      <c r="U59" s="4">
        <v>39539</v>
      </c>
      <c r="V59" s="4">
        <v>39629</v>
      </c>
      <c r="W59" s="52">
        <v>5.2999999999999999E-2</v>
      </c>
      <c r="X59" s="31">
        <f t="shared" ca="1" si="0"/>
        <v>0</v>
      </c>
    </row>
    <row r="60" spans="1:28" hidden="1">
      <c r="S60" s="3"/>
      <c r="T60" s="3" t="s">
        <v>81</v>
      </c>
      <c r="U60" s="4">
        <v>39630</v>
      </c>
      <c r="V60" s="4">
        <v>39721</v>
      </c>
      <c r="W60" s="52">
        <v>5.6000000000000001E-2</v>
      </c>
      <c r="X60" s="31">
        <f t="shared" ca="1" si="0"/>
        <v>0</v>
      </c>
    </row>
    <row r="61" spans="1:28" hidden="1">
      <c r="S61" s="5"/>
      <c r="T61" s="5" t="s">
        <v>77</v>
      </c>
      <c r="U61" s="6">
        <v>39722</v>
      </c>
      <c r="V61" s="6">
        <v>39813</v>
      </c>
      <c r="W61" s="52">
        <v>5.6000000000000001E-2</v>
      </c>
      <c r="X61" s="31">
        <f t="shared" ca="1" si="0"/>
        <v>0</v>
      </c>
    </row>
    <row r="62" spans="1:28" hidden="1">
      <c r="S62" s="1">
        <v>2009</v>
      </c>
      <c r="T62" s="1" t="s">
        <v>78</v>
      </c>
      <c r="U62" s="2">
        <v>39814</v>
      </c>
      <c r="V62" s="2">
        <v>39903</v>
      </c>
      <c r="W62" s="52">
        <v>5.6000000000000001E-2</v>
      </c>
      <c r="X62" s="31">
        <f t="shared" ca="1" si="0"/>
        <v>0</v>
      </c>
    </row>
    <row r="63" spans="1:28" hidden="1">
      <c r="S63" s="3"/>
      <c r="T63" s="3" t="s">
        <v>80</v>
      </c>
      <c r="U63" s="4">
        <v>39904</v>
      </c>
      <c r="V63" s="4">
        <v>39994</v>
      </c>
      <c r="W63" s="52">
        <v>5.6000000000000001E-2</v>
      </c>
      <c r="X63" s="31">
        <f t="shared" ca="1" si="0"/>
        <v>0</v>
      </c>
    </row>
    <row r="64" spans="1:28" hidden="1">
      <c r="S64" s="3"/>
      <c r="T64" s="3" t="s">
        <v>81</v>
      </c>
      <c r="U64" s="4">
        <v>39995</v>
      </c>
      <c r="V64" s="4">
        <v>40086</v>
      </c>
      <c r="W64" s="52">
        <v>5.8000000000000003E-2</v>
      </c>
      <c r="X64" s="31">
        <f t="shared" ca="1" si="0"/>
        <v>0</v>
      </c>
    </row>
    <row r="65" spans="19:24" hidden="1">
      <c r="S65" s="3"/>
      <c r="T65" s="5" t="s">
        <v>77</v>
      </c>
      <c r="U65" s="4">
        <v>40087</v>
      </c>
      <c r="V65" s="4">
        <v>40178</v>
      </c>
      <c r="W65" s="52">
        <v>5.8000000000000003E-2</v>
      </c>
      <c r="X65" s="31">
        <f t="shared" ca="1" si="0"/>
        <v>0</v>
      </c>
    </row>
    <row r="66" spans="19:24" hidden="1">
      <c r="S66" s="1">
        <v>2010</v>
      </c>
      <c r="T66" s="90" t="s">
        <v>78</v>
      </c>
      <c r="U66" s="86">
        <v>40179</v>
      </c>
      <c r="V66" s="2">
        <v>40268</v>
      </c>
      <c r="W66" s="89">
        <v>5.8000000000000003E-2</v>
      </c>
      <c r="X66" s="31">
        <f t="shared" ca="1" si="0"/>
        <v>0</v>
      </c>
    </row>
    <row r="67" spans="19:24" hidden="1">
      <c r="S67" s="3"/>
      <c r="T67" s="15" t="s">
        <v>80</v>
      </c>
      <c r="U67" s="87">
        <v>40269</v>
      </c>
      <c r="V67" s="4">
        <v>40359</v>
      </c>
      <c r="W67" s="89">
        <v>5.8000000000000003E-2</v>
      </c>
      <c r="X67" s="31">
        <f t="shared" ca="1" si="0"/>
        <v>0</v>
      </c>
    </row>
    <row r="68" spans="19:24" hidden="1">
      <c r="S68" s="3"/>
      <c r="T68" s="15" t="s">
        <v>81</v>
      </c>
      <c r="U68" s="87">
        <v>40360</v>
      </c>
      <c r="V68" s="4">
        <v>40451</v>
      </c>
      <c r="W68" s="89">
        <v>5.3999999999999999E-2</v>
      </c>
      <c r="X68" s="31">
        <f ca="1">IF(AND($I$8&gt;V67,$I$8&lt;U69),W68,0)</f>
        <v>0</v>
      </c>
    </row>
    <row r="69" spans="19:24" hidden="1">
      <c r="S69" s="5"/>
      <c r="T69" s="84" t="s">
        <v>77</v>
      </c>
      <c r="U69" s="88">
        <v>40452</v>
      </c>
      <c r="V69" s="6">
        <v>40543</v>
      </c>
      <c r="W69" s="85">
        <v>4.9000000000000002E-2</v>
      </c>
      <c r="X69" s="31">
        <f t="shared" ref="X69:X77" ca="1" si="1">IF(AND($I$8&gt;V68,$I$8&lt;U70),W69,0)</f>
        <v>0</v>
      </c>
    </row>
    <row r="70" spans="19:24" hidden="1">
      <c r="S70" s="1">
        <v>2011</v>
      </c>
      <c r="T70" s="1" t="s">
        <v>78</v>
      </c>
      <c r="U70" s="2">
        <v>40544</v>
      </c>
      <c r="V70" s="2">
        <v>40633</v>
      </c>
      <c r="W70" s="85">
        <v>5.1999999999999998E-2</v>
      </c>
      <c r="X70" s="31">
        <f t="shared" ca="1" si="1"/>
        <v>0</v>
      </c>
    </row>
    <row r="71" spans="19:24" hidden="1">
      <c r="S71" s="3"/>
      <c r="T71" s="3" t="s">
        <v>80</v>
      </c>
      <c r="U71" s="4">
        <v>40634</v>
      </c>
      <c r="V71" s="4">
        <v>40724</v>
      </c>
      <c r="W71" s="85">
        <v>5.8000000000000003E-2</v>
      </c>
      <c r="X71" s="31">
        <f t="shared" ca="1" si="1"/>
        <v>0</v>
      </c>
    </row>
    <row r="72" spans="19:24" hidden="1">
      <c r="S72" s="3"/>
      <c r="T72" s="3" t="s">
        <v>81</v>
      </c>
      <c r="U72" s="4">
        <v>40725</v>
      </c>
      <c r="V72" s="4">
        <v>40816</v>
      </c>
      <c r="W72" s="85">
        <v>5.7000000000000002E-2</v>
      </c>
      <c r="X72" s="31">
        <f t="shared" ca="1" si="1"/>
        <v>0</v>
      </c>
    </row>
    <row r="73" spans="19:24" hidden="1">
      <c r="S73" s="5"/>
      <c r="T73" s="5" t="s">
        <v>77</v>
      </c>
      <c r="U73" s="6">
        <v>40817</v>
      </c>
      <c r="V73" s="6">
        <v>40908</v>
      </c>
      <c r="W73" s="85"/>
      <c r="X73" s="31">
        <f t="shared" ca="1" si="1"/>
        <v>0</v>
      </c>
    </row>
    <row r="74" spans="19:24" hidden="1">
      <c r="S74" s="1">
        <v>2012</v>
      </c>
      <c r="T74" s="1" t="s">
        <v>78</v>
      </c>
      <c r="U74" s="2">
        <v>40909</v>
      </c>
      <c r="V74" s="2">
        <v>40999</v>
      </c>
      <c r="W74" s="85"/>
      <c r="X74" s="31">
        <f ca="1">IF(AND($I$8&gt;V73,$I$8&lt;U76),W74,0)</f>
        <v>0</v>
      </c>
    </row>
    <row r="75" spans="19:24" hidden="1">
      <c r="S75" s="3"/>
      <c r="T75" s="3" t="s">
        <v>80</v>
      </c>
      <c r="U75" s="4">
        <v>41000</v>
      </c>
      <c r="V75" s="4">
        <v>41090</v>
      </c>
      <c r="W75" s="85"/>
      <c r="X75" s="31">
        <f ca="1">IF(AND($I$8&gt;V74,$I$8&lt;U77),W75,0)</f>
        <v>0</v>
      </c>
    </row>
    <row r="76" spans="19:24" hidden="1">
      <c r="S76" s="3"/>
      <c r="T76" s="3" t="s">
        <v>81</v>
      </c>
      <c r="U76" s="4">
        <v>41091</v>
      </c>
      <c r="V76" s="4">
        <v>41182</v>
      </c>
      <c r="W76" s="85"/>
      <c r="X76" s="31">
        <f ca="1">IF(AND($I$8&gt;V74,$I$8&lt;U77),W76,0)</f>
        <v>0</v>
      </c>
    </row>
    <row r="77" spans="19:24" hidden="1">
      <c r="S77" s="5"/>
      <c r="T77" s="5" t="s">
        <v>77</v>
      </c>
      <c r="U77" s="6">
        <v>41183</v>
      </c>
      <c r="V77" s="6">
        <v>41274</v>
      </c>
      <c r="W77" s="85"/>
      <c r="X77" s="31">
        <f t="shared" ca="1" si="1"/>
        <v>0</v>
      </c>
    </row>
    <row r="78" spans="19:24" ht="13.15" hidden="1">
      <c r="S78" s="9"/>
      <c r="T78" s="11" t="s">
        <v>107</v>
      </c>
      <c r="U78" s="11"/>
      <c r="V78" s="63"/>
      <c r="W78" s="63"/>
      <c r="X78" s="64">
        <f ca="1">SUM(X54:X77)</f>
        <v>0</v>
      </c>
    </row>
    <row r="79" spans="19:24" hidden="1">
      <c r="U79" s="58"/>
      <c r="V79" s="65" t="s">
        <v>87</v>
      </c>
      <c r="W79" s="59"/>
      <c r="X79" s="60"/>
    </row>
    <row r="80" spans="19:24" hidden="1">
      <c r="U80" s="62"/>
      <c r="V80" s="55" t="s">
        <v>108</v>
      </c>
      <c r="W80" s="56"/>
      <c r="X80" s="57"/>
    </row>
    <row r="81" spans="19:26" hidden="1">
      <c r="U81" s="53"/>
      <c r="V81" s="55" t="s">
        <v>109</v>
      </c>
      <c r="W81" s="56"/>
      <c r="X81" s="57"/>
    </row>
    <row r="82" spans="19:26" hidden="1">
      <c r="U82" s="13"/>
      <c r="V82" s="13"/>
      <c r="W82" s="13"/>
      <c r="X82" s="13"/>
    </row>
    <row r="83" spans="19:26" hidden="1">
      <c r="U83" s="13"/>
      <c r="V83" s="13"/>
      <c r="W83" s="13"/>
      <c r="X83" s="13"/>
    </row>
    <row r="84" spans="19:26" hidden="1">
      <c r="U84" s="13"/>
      <c r="V84" s="13"/>
      <c r="W84" s="13"/>
      <c r="X84" s="13"/>
    </row>
    <row r="85" spans="19:26" hidden="1">
      <c r="U85" s="13"/>
      <c r="V85" s="13"/>
      <c r="W85" s="13"/>
      <c r="X85" s="13"/>
    </row>
    <row r="86" spans="19:26" hidden="1">
      <c r="U86" s="13"/>
      <c r="V86" s="13"/>
      <c r="W86" s="13"/>
      <c r="X86" s="13"/>
    </row>
    <row r="87" spans="19:26" hidden="1">
      <c r="U87" s="13"/>
      <c r="V87" s="13"/>
      <c r="W87" s="13"/>
      <c r="X87" s="13"/>
    </row>
    <row r="88" spans="19:26" hidden="1">
      <c r="U88" s="13"/>
      <c r="V88" s="13"/>
      <c r="W88" s="13"/>
      <c r="X88" s="13"/>
    </row>
    <row r="90" spans="19:26" hidden="1">
      <c r="S90" s="17" t="s">
        <v>91</v>
      </c>
      <c r="T90" s="18"/>
    </row>
    <row r="91" spans="19:26" hidden="1">
      <c r="S91" s="19"/>
      <c r="T91" s="20"/>
    </row>
    <row r="92" spans="19:26" hidden="1">
      <c r="S92" s="30" t="s">
        <v>92</v>
      </c>
      <c r="T92" s="30">
        <f>I13</f>
        <v>0</v>
      </c>
    </row>
    <row r="93" spans="19:26" hidden="1">
      <c r="S93" s="30" t="s">
        <v>93</v>
      </c>
      <c r="T93" s="30">
        <f>I18</f>
        <v>0</v>
      </c>
      <c r="Z93" t="s">
        <v>39</v>
      </c>
    </row>
    <row r="94" spans="19:26" hidden="1">
      <c r="S94" s="30" t="s">
        <v>94</v>
      </c>
      <c r="T94" s="30">
        <f>I23</f>
        <v>0</v>
      </c>
    </row>
    <row r="95" spans="19:26" hidden="1">
      <c r="S95" s="30" t="s">
        <v>95</v>
      </c>
      <c r="T95" s="30">
        <f>I28</f>
        <v>0</v>
      </c>
    </row>
    <row r="96" spans="19:26" hidden="1">
      <c r="S96" s="30" t="s">
        <v>96</v>
      </c>
      <c r="T96" s="30">
        <f>I33</f>
        <v>0</v>
      </c>
    </row>
    <row r="97" spans="19:20" ht="13.15" hidden="1">
      <c r="S97" s="32" t="s">
        <v>97</v>
      </c>
      <c r="T97" s="32">
        <f>LARGE(T92:T96,1)</f>
        <v>0</v>
      </c>
    </row>
    <row r="98" spans="19:20" hidden="1">
      <c r="S98" s="13"/>
      <c r="T98" s="13"/>
    </row>
    <row r="99" spans="19:20" hidden="1">
      <c r="S99" s="9" t="s">
        <v>62</v>
      </c>
      <c r="T99" s="12"/>
    </row>
    <row r="100" spans="19:20" ht="13.15" hidden="1">
      <c r="S100" s="33" t="e">
        <f ca="1">PMT(I37/12,(T97),(I12+I17+I22+I27+I32))*-1</f>
        <v>#NUM!</v>
      </c>
      <c r="T100" s="34"/>
    </row>
    <row r="101" spans="19:20" hidden="1">
      <c r="S101" s="13"/>
      <c r="T101" s="13"/>
    </row>
    <row r="102" spans="19:20" hidden="1">
      <c r="S102" s="9" t="s">
        <v>98</v>
      </c>
      <c r="T102" s="12"/>
    </row>
    <row r="103" spans="19:20" ht="13.15" hidden="1">
      <c r="S103" s="35" t="e">
        <f ca="1">+S100/(I12+I17+I22+I27+I32)</f>
        <v>#NUM!</v>
      </c>
      <c r="T103" s="34"/>
    </row>
    <row r="104" spans="19:20" hidden="1">
      <c r="S104" s="13"/>
      <c r="T104" s="13"/>
    </row>
    <row r="105" spans="19:20" hidden="1">
      <c r="S105" s="9" t="s">
        <v>99</v>
      </c>
      <c r="T105" s="12"/>
    </row>
    <row r="106" spans="19:20" ht="13.15" hidden="1">
      <c r="S106" s="35" t="e">
        <f ca="1">(I12+I17+I22+I27+I32)/S100</f>
        <v>#NUM!</v>
      </c>
      <c r="T106" s="34"/>
    </row>
  </sheetData>
  <mergeCells count="42">
    <mergeCell ref="T46:W46"/>
    <mergeCell ref="AA52:AB52"/>
    <mergeCell ref="I42:M42"/>
    <mergeCell ref="T42:W42"/>
    <mergeCell ref="E43:F43"/>
    <mergeCell ref="I43:M44"/>
    <mergeCell ref="T43:W43"/>
    <mergeCell ref="T44:W44"/>
    <mergeCell ref="M34:M41"/>
    <mergeCell ref="T34:W34"/>
    <mergeCell ref="T35:W35"/>
    <mergeCell ref="T37:W37"/>
    <mergeCell ref="T29:W29"/>
    <mergeCell ref="T30:W30"/>
    <mergeCell ref="M32:M33"/>
    <mergeCell ref="T32:W32"/>
    <mergeCell ref="T33:W33"/>
    <mergeCell ref="T24:W24"/>
    <mergeCell ref="T25:W25"/>
    <mergeCell ref="M27:M28"/>
    <mergeCell ref="T27:W27"/>
    <mergeCell ref="T28:W28"/>
    <mergeCell ref="T20:W20"/>
    <mergeCell ref="M22:M23"/>
    <mergeCell ref="T22:W22"/>
    <mergeCell ref="T23:W23"/>
    <mergeCell ref="M17:M18"/>
    <mergeCell ref="T17:W17"/>
    <mergeCell ref="T18:W18"/>
    <mergeCell ref="T19:W19"/>
    <mergeCell ref="Y12:Z12"/>
    <mergeCell ref="T13:W13"/>
    <mergeCell ref="T14:W14"/>
    <mergeCell ref="T15:W15"/>
    <mergeCell ref="T9:W9"/>
    <mergeCell ref="T10:W10"/>
    <mergeCell ref="M12:M13"/>
    <mergeCell ref="T12:W12"/>
    <mergeCell ref="B3:P3"/>
    <mergeCell ref="G6:I6"/>
    <mergeCell ref="T6:W6"/>
    <mergeCell ref="T8:W8"/>
  </mergeCells>
  <phoneticPr fontId="2" type="noConversion"/>
  <conditionalFormatting sqref="H42">
    <cfRule type="cellIs" dxfId="22" priority="1" stopIfTrue="1" operator="notEqual">
      <formula>""</formula>
    </cfRule>
  </conditionalFormatting>
  <conditionalFormatting sqref="H44">
    <cfRule type="cellIs" dxfId="21" priority="2" stopIfTrue="1" operator="notEqual">
      <formula>""</formula>
    </cfRule>
  </conditionalFormatting>
  <conditionalFormatting sqref="M22">
    <cfRule type="cellIs" dxfId="20" priority="3" stopIfTrue="1" operator="equal">
      <formula>0</formula>
    </cfRule>
    <cfRule type="expression" dxfId="19" priority="4" stopIfTrue="1">
      <formula>ISERROR($M$22)</formula>
    </cfRule>
  </conditionalFormatting>
  <conditionalFormatting sqref="J14 J19 J24 J29 J34">
    <cfRule type="cellIs" dxfId="18" priority="5" stopIfTrue="1" operator="equal">
      <formula>"CHF"</formula>
    </cfRule>
    <cfRule type="cellIs" dxfId="17" priority="6" stopIfTrue="1" operator="equal">
      <formula>"NHG"</formula>
    </cfRule>
  </conditionalFormatting>
  <conditionalFormatting sqref="D43">
    <cfRule type="cellIs" dxfId="16" priority="7" stopIfTrue="1" operator="notEqual">
      <formula>""</formula>
    </cfRule>
  </conditionalFormatting>
  <conditionalFormatting sqref="G43">
    <cfRule type="cellIs" dxfId="15" priority="8" stopIfTrue="1" operator="equal">
      <formula>"ja"</formula>
    </cfRule>
    <cfRule type="cellIs" dxfId="14" priority="9" stopIfTrue="1" operator="equal">
      <formula>"nee"</formula>
    </cfRule>
    <cfRule type="cellIs" dxfId="13" priority="10" stopIfTrue="1" operator="notEqual">
      <formula>$D$43</formula>
    </cfRule>
  </conditionalFormatting>
  <conditionalFormatting sqref="X55:X77">
    <cfRule type="cellIs" dxfId="12" priority="11" stopIfTrue="1" operator="greaterThan">
      <formula>0</formula>
    </cfRule>
  </conditionalFormatting>
  <conditionalFormatting sqref="X53:X54">
    <cfRule type="cellIs" dxfId="11" priority="12" stopIfTrue="1" operator="greaterThan">
      <formula>0</formula>
    </cfRule>
  </conditionalFormatting>
  <conditionalFormatting sqref="M27:M28">
    <cfRule type="cellIs" dxfId="10" priority="13" stopIfTrue="1" operator="between">
      <formula>0</formula>
      <formula>265000</formula>
    </cfRule>
    <cfRule type="cellIs" dxfId="9" priority="14" stopIfTrue="1" operator="greaterThan">
      <formula>264999.99</formula>
    </cfRule>
  </conditionalFormatting>
  <conditionalFormatting sqref="M32:M33">
    <cfRule type="cellIs" dxfId="8" priority="15" stopIfTrue="1" operator="equal">
      <formula>0</formula>
    </cfRule>
    <cfRule type="expression" dxfId="7" priority="16" stopIfTrue="1">
      <formula>ISERROR($M$32)</formula>
    </cfRule>
  </conditionalFormatting>
  <conditionalFormatting sqref="I12:I37">
    <cfRule type="cellIs" dxfId="6" priority="17" stopIfTrue="1" operator="equal">
      <formula>0</formula>
    </cfRule>
  </conditionalFormatting>
  <conditionalFormatting sqref="I43:M44">
    <cfRule type="cellIs" dxfId="5" priority="18" stopIfTrue="1" operator="notEqual">
      <formula>""</formula>
    </cfRule>
  </conditionalFormatting>
  <conditionalFormatting sqref="K14 K19 K24 K29 K34">
    <cfRule type="expression" dxfId="4" priority="19" stopIfTrue="1">
      <formula>$G$14&gt;0</formula>
    </cfRule>
  </conditionalFormatting>
  <conditionalFormatting sqref="I8">
    <cfRule type="cellIs" dxfId="3" priority="20" stopIfTrue="1" operator="notEqual">
      <formula>$G$8</formula>
    </cfRule>
  </conditionalFormatting>
  <conditionalFormatting sqref="I42:M42">
    <cfRule type="cellIs" dxfId="2" priority="21" stopIfTrue="1" operator="notEqual">
      <formula>""</formula>
    </cfRule>
    <cfRule type="expression" dxfId="1" priority="22" stopIfTrue="1">
      <formula>"ISFOUT($I$42)"</formula>
    </cfRule>
  </conditionalFormatting>
  <conditionalFormatting sqref="M34:M41">
    <cfRule type="cellIs" dxfId="0" priority="23" stopIfTrue="1" operator="greaterThan">
      <formula>0</formula>
    </cfRule>
  </conditionalFormatting>
  <dataValidations count="1">
    <dataValidation type="list" allowBlank="1" showInputMessage="1" showErrorMessage="1" sqref="H13 H35 H33 H30 H28 H25 H23 H20 H18 H15" xr:uid="{00000000-0002-0000-0200-000000000000}">
      <formula1>$AA$53:$AA$54</formula1>
    </dataValidation>
  </dataValidations>
  <pageMargins left="0.75" right="0.75" top="1" bottom="1" header="0.5" footer="0.5"/>
  <pageSetup paperSize="9" scale="72" orientation="landscape"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B40"/>
  <sheetViews>
    <sheetView workbookViewId="0">
      <selection activeCell="C7" sqref="C7:D44"/>
    </sheetView>
  </sheetViews>
  <sheetFormatPr defaultRowHeight="12.75"/>
  <cols>
    <col min="1" max="1" width="13.42578125" style="72" customWidth="1"/>
    <col min="2" max="2" width="89.28515625" customWidth="1"/>
  </cols>
  <sheetData>
    <row r="1" spans="1:2" ht="13.15">
      <c r="A1" s="69" t="s">
        <v>110</v>
      </c>
      <c r="B1" s="15"/>
    </row>
    <row r="3" spans="1:2" ht="13.15">
      <c r="A3" s="70">
        <v>1</v>
      </c>
      <c r="B3" s="71" t="s">
        <v>111</v>
      </c>
    </row>
    <row r="4" spans="1:2" ht="30.75" customHeight="1">
      <c r="B4" s="67" t="s">
        <v>112</v>
      </c>
    </row>
    <row r="7" spans="1:2" ht="395.25">
      <c r="A7" s="71"/>
      <c r="B7" s="67" t="s">
        <v>113</v>
      </c>
    </row>
    <row r="9" spans="1:2">
      <c r="B9" t="s">
        <v>114</v>
      </c>
    </row>
    <row r="11" spans="1:2" ht="13.15">
      <c r="A11" s="70">
        <v>2</v>
      </c>
      <c r="B11" s="68" t="s">
        <v>115</v>
      </c>
    </row>
    <row r="13" spans="1:2" ht="13.15">
      <c r="B13" s="68"/>
    </row>
    <row r="15" spans="1:2">
      <c r="B15" t="s">
        <v>27</v>
      </c>
    </row>
    <row r="21" spans="2:2">
      <c r="B21" t="s">
        <v>116</v>
      </c>
    </row>
    <row r="27" spans="2:2">
      <c r="B27" t="s">
        <v>30</v>
      </c>
    </row>
    <row r="31" spans="2:2">
      <c r="B31" t="s">
        <v>117</v>
      </c>
    </row>
    <row r="34" spans="2:2">
      <c r="B34" t="s">
        <v>118</v>
      </c>
    </row>
    <row r="37" spans="2:2">
      <c r="B37" t="s">
        <v>119</v>
      </c>
    </row>
    <row r="40" spans="2:2">
      <c r="B40" t="s">
        <v>120</v>
      </c>
    </row>
  </sheetData>
  <customSheetViews>
    <customSheetView guid="{14D89E1E-FF60-4AD6-979E-2920D45410EF}" showRuler="0">
      <selection activeCell="A3" sqref="A3"/>
      <pageMargins left="0" right="0" top="0" bottom="0" header="0" footer="0"/>
      <headerFooter alignWithMargins="0"/>
    </customSheetView>
  </customSheetView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23B3568FD19A49AA19CACBF0C537E3" ma:contentTypeVersion="17" ma:contentTypeDescription="Create a new document." ma:contentTypeScope="" ma:versionID="144168caa32a6d13189acbaf1c9cd39e">
  <xsd:schema xmlns:xsd="http://www.w3.org/2001/XMLSchema" xmlns:xs="http://www.w3.org/2001/XMLSchema" xmlns:p="http://schemas.microsoft.com/office/2006/metadata/properties" xmlns:ns2="55342f0c-fc7f-4c26-bccd-14084ec9acdd" xmlns:ns3="4a4136f9-7359-4e7b-920b-7387ba8e0228" targetNamespace="http://schemas.microsoft.com/office/2006/metadata/properties" ma:root="true" ma:fieldsID="3c2f6c41754941db1b72d372f2ca58fe" ns2:_="" ns3:_="">
    <xsd:import namespace="55342f0c-fc7f-4c26-bccd-14084ec9acdd"/>
    <xsd:import namespace="4a4136f9-7359-4e7b-920b-7387ba8e0228"/>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42f0c-fc7f-4c26-bccd-14084ec9acdd" elementFormDefault="qualified">
    <xsd:import namespace="http://schemas.microsoft.com/office/2006/documentManagement/types"/>
    <xsd:import namespace="http://schemas.microsoft.com/office/infopath/2007/PartnerControls"/>
    <xsd:element name="TaxKeywordTaxHTField" ma:index="5" nillable="true" ma:taxonomy="true" ma:internalName="TaxKeywordTaxHTField" ma:taxonomyFieldName="TaxKeyword" ma:displayName="Ondernemingstrefwoorden" ma:fieldId="{23f27201-bee3-471e-b2e7-b64fd8b7ca38}" ma:taxonomyMulti="true" ma:sspId="4935aa56-952c-41d2-951e-d5c424ab7645" ma:termSetId="00000000-0000-0000-0000-000000000000" ma:anchorId="00000000-0000-0000-0000-000000000000" ma:open="true" ma:isKeyword="true">
      <xsd:complexType>
        <xsd:sequence>
          <xsd:element ref="pc:Terms" minOccurs="0" maxOccurs="1"/>
        </xsd:sequence>
      </xsd:complexType>
    </xsd:element>
    <xsd:element name="TaxCatchAll" ma:index="6" nillable="true" ma:displayName="Taxonomy Catch All Column" ma:hidden="true" ma:list="{ed5509e5-acb8-4171-b449-1d47f3b3e1a4}" ma:internalName="TaxCatchAll" ma:showField="CatchAllData" ma:web="55342f0c-fc7f-4c26-bccd-14084ec9acd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4136f9-7359-4e7b-920b-7387ba8e022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5342f0c-fc7f-4c26-bccd-14084ec9acdd">
      <UserInfo>
        <DisplayName/>
        <AccountId xsi:nil="true"/>
        <AccountType/>
      </UserInfo>
    </SharedWithUsers>
    <TaxKeywordTaxHTField xmlns="55342f0c-fc7f-4c26-bccd-14084ec9acdd">
      <Terms xmlns="http://schemas.microsoft.com/office/infopath/2007/PartnerControls"/>
    </TaxKeywordTaxHTField>
    <TaxCatchAll xmlns="55342f0c-fc7f-4c26-bccd-14084ec9acdd"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4D69F86-F6C4-4F19-B8F5-1EA01EF177D7}"/>
</file>

<file path=customXml/itemProps2.xml><?xml version="1.0" encoding="utf-8"?>
<ds:datastoreItem xmlns:ds="http://schemas.openxmlformats.org/officeDocument/2006/customXml" ds:itemID="{1CA626B2-FFC8-427E-B8D8-E68FBB36EAE7}"/>
</file>

<file path=customXml/itemProps3.xml><?xml version="1.0" encoding="utf-8"?>
<ds:datastoreItem xmlns:ds="http://schemas.openxmlformats.org/officeDocument/2006/customXml" ds:itemID="{E83EEC86-B886-4B04-B474-67742083F9DE}"/>
</file>

<file path=customXml/itemProps4.xml><?xml version="1.0" encoding="utf-8"?>
<ds:datastoreItem xmlns:ds="http://schemas.openxmlformats.org/officeDocument/2006/customXml" ds:itemID="{FFDF0ACC-7C14-4026-A8C7-1D9E5CFBC8F7}"/>
</file>

<file path=docProps/app.xml><?xml version="1.0" encoding="utf-8"?>
<Properties xmlns="http://schemas.openxmlformats.org/officeDocument/2006/extended-properties" xmlns:vt="http://schemas.openxmlformats.org/officeDocument/2006/docPropsVTypes">
  <Application>Microsoft Excel Online</Application>
  <Manager/>
  <Company>Stichting Waarborgfonds Eigen Woningen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marcov</dc:creator>
  <cp:keywords/>
  <dc:description/>
  <cp:lastModifiedBy/>
  <cp:revision/>
  <dcterms:created xsi:type="dcterms:W3CDTF">2004-02-06T08:57:47Z</dcterms:created>
  <dcterms:modified xsi:type="dcterms:W3CDTF">2021-10-28T10:22:46Z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0x010100C523B3568FD19A49AA19CACBF0C537E3</vt:lpwstr>
  </property>
  <property fmtid="{D5CDD505-2E9C-101B-9397-08002B2CF9AE}" pid="3" name="TaxKeywordTaxHTField">
    <vt:lpwstr/>
  </property>
  <property fmtid="{D5CDD505-2E9C-101B-9397-08002B2CF9AE}" pid="4" name="TaxCatchAll">
    <vt:lpwstr/>
  </property>
  <property fmtid="{D5CDD505-2E9C-101B-9397-08002B2CF9AE}" pid="5" name="TaxKeyword">
    <vt:lpwstr/>
  </property>
  <property fmtid="{D5CDD505-2E9C-101B-9397-08002B2CF9AE}" pid="6" name="Order">
    <vt:r8>4957600</vt:r8>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ies>
</file>